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95" windowWidth="11340" windowHeight="8625" activeTab="0"/>
  </bookViews>
  <sheets>
    <sheet name="общие данные" sheetId="1" r:id="rId1"/>
  </sheets>
  <definedNames>
    <definedName name="Constr" localSheetId="0">'общие данные'!#REF!</definedName>
    <definedName name="FOT" localSheetId="0">'общие данные'!#REF!</definedName>
    <definedName name="Ind" localSheetId="0">'общие данные'!#REF!</definedName>
    <definedName name="Obj" localSheetId="0">'общие данные'!#REF!</definedName>
    <definedName name="Obosn" localSheetId="0">'общие данные'!#REF!</definedName>
    <definedName name="SmPr" localSheetId="0">'общие данные'!#REF!</definedName>
    <definedName name="_xlnm.Print_Titles" localSheetId="0">'общие данные'!$13:$13</definedName>
  </definedNames>
  <calcPr fullCalcOnLoad="1"/>
</workbook>
</file>

<file path=xl/sharedStrings.xml><?xml version="1.0" encoding="utf-8"?>
<sst xmlns="http://schemas.openxmlformats.org/spreadsheetml/2006/main" count="499" uniqueCount="351">
  <si>
    <t>№ пп</t>
  </si>
  <si>
    <t>Обоснование</t>
  </si>
  <si>
    <t>1</t>
  </si>
  <si>
    <r>
      <t>ВД(2.1)-2-06-08-01</t>
    </r>
    <r>
      <rPr>
        <i/>
        <sz val="7"/>
        <rFont val="Arial"/>
        <family val="2"/>
      </rPr>
      <t xml:space="preserve">
Пост. Госкомтруда СССР от 05.10.1987 N 601/28-53 ТНВ на работы по текущему ремонту жилищного фонда, п.3.7.5</t>
    </r>
  </si>
  <si>
    <t>ВСЕГО</t>
  </si>
  <si>
    <t xml:space="preserve">КАЛЬКУЛЯТОР
стоимости жилищных услуг
</t>
  </si>
  <si>
    <t>кв.м общей площади</t>
  </si>
  <si>
    <t>Стоимость работ за год, руб.</t>
  </si>
  <si>
    <t>Наименование работ</t>
  </si>
  <si>
    <t>Измеритель</t>
  </si>
  <si>
    <t>Эксплуатация машин, механизмов</t>
  </si>
  <si>
    <t>Материальные ресурсы</t>
  </si>
  <si>
    <t>Периодичность в год</t>
  </si>
  <si>
    <t>Кол-во, ед.изм.</t>
  </si>
  <si>
    <t>Образец для заполнения</t>
  </si>
  <si>
    <t>Ячейки для заполнения по конкретному МКД</t>
  </si>
  <si>
    <r>
      <t>Осмотр территории вокруг здания и фундамента</t>
    </r>
    <r>
      <rPr>
        <i/>
        <sz val="7"/>
        <rFont val="Arial"/>
        <family val="2"/>
      </rPr>
      <t xml:space="preserve">
</t>
    </r>
  </si>
  <si>
    <t xml:space="preserve"> 1. Работы, выполняемые в отношении всех видов фундаментов:</t>
  </si>
  <si>
    <t>кв.м окна</t>
  </si>
  <si>
    <t>Осмотр деревянных стен, перегородок</t>
  </si>
  <si>
    <t>Осмотр деревянных перекрытий</t>
  </si>
  <si>
    <t>Осмотр деревянных покрытий, полов</t>
  </si>
  <si>
    <t>кв.м полов</t>
  </si>
  <si>
    <t>Осмотр железобетонных перекрытий</t>
  </si>
  <si>
    <t>Осмотр всех элементов стальных кровель, водостоков</t>
  </si>
  <si>
    <t>кв.м кровли</t>
  </si>
  <si>
    <t>Осмотр всех элементов рулонных кровель, водостоков</t>
  </si>
  <si>
    <t>Осмотр всех элементов кровель из штучных материалов, водостоков</t>
  </si>
  <si>
    <t>Очистка кровли от мусора, листьев</t>
  </si>
  <si>
    <r>
      <t>Подметание чердаков без предварительного увлажнения</t>
    </r>
    <r>
      <rPr>
        <i/>
        <sz val="7"/>
        <rFont val="Arial"/>
        <family val="2"/>
      </rPr>
      <t xml:space="preserve">
</t>
    </r>
  </si>
  <si>
    <t>кв.м  чердаков</t>
  </si>
  <si>
    <r>
      <t>Осмотр заполнения дверных и оконных проемов</t>
    </r>
    <r>
      <rPr>
        <i/>
        <sz val="7"/>
        <rFont val="Arial"/>
        <family val="2"/>
      </rPr>
      <t xml:space="preserve">
</t>
    </r>
  </si>
  <si>
    <t>Общая площадь здания, кв.м</t>
  </si>
  <si>
    <t>Осмотр внутренней отделки стен</t>
  </si>
  <si>
    <t xml:space="preserve"> кв.м общей площади</t>
  </si>
  <si>
    <t>Уборка загрузочных клапанов мусоропроводов в домах до 10-ти этажей</t>
  </si>
  <si>
    <t>клапан</t>
  </si>
  <si>
    <t>Уборка бункеров с помощью шланга</t>
  </si>
  <si>
    <t>бункер</t>
  </si>
  <si>
    <t>Дезинфекция всех элементов ствола мусоропровода вручную</t>
  </si>
  <si>
    <t>м мусоропровода</t>
  </si>
  <si>
    <r>
      <t>ВД(2.1)-2-06-08-01</t>
    </r>
    <r>
      <rPr>
        <i/>
        <sz val="7"/>
        <rFont val="Arial"/>
        <family val="2"/>
      </rPr>
      <t xml:space="preserve">
Пост. Госкомтруда СССР от 05.10.1987 N 601/28-53 ТНВ на работы по текущему ремонту жилищного фонда, п.3.7.6</t>
    </r>
  </si>
  <si>
    <t>Уборка в домах до 10 этажей мусороприемных камер, расположенных на 1-ом этаже, с помощью шланга</t>
  </si>
  <si>
    <r>
      <t>ВД(2.1)-2-06-08-01</t>
    </r>
    <r>
      <rPr>
        <i/>
        <sz val="7"/>
        <rFont val="Arial"/>
        <family val="2"/>
      </rPr>
      <t xml:space="preserve">
Пост. Госкомтруда СССР от 05.10.1987 N 601/28-53 ТНВ на работы по текущему ремонту жилищного фонда, п.3.7.4</t>
    </r>
  </si>
  <si>
    <t>Удаление мусора из мусороприемных камер с бункерами, расположенных на 1-ом этаже в домах до 10 этажей</t>
  </si>
  <si>
    <r>
      <t>ВД(2.1)-2-06-08-01</t>
    </r>
    <r>
      <rPr>
        <i/>
        <sz val="7"/>
        <rFont val="Arial"/>
        <family val="2"/>
      </rPr>
      <t xml:space="preserve">
Пост. Госкомтруда СССР от 05.10.1987 N 601/28-53 ТНВ на работы по текущему ремонту жилищного фонда, п.3.7.5</t>
    </r>
  </si>
  <si>
    <t>Удаление мусора из мусороприемных камер с бункерами, расположенных на 1-ом этаже в домах 11 этажей и выше</t>
  </si>
  <si>
    <t>м3 ТБО</t>
  </si>
  <si>
    <r>
      <t>ВД(2.1)-2-06-08-01</t>
    </r>
    <r>
      <rPr>
        <i/>
        <sz val="7"/>
        <rFont val="Arial"/>
        <family val="2"/>
      </rPr>
      <t xml:space="preserve">
Пост. Госкомтруда СССР от 05.10.1987 N 601/28-53 ТНВ на работы по текущему ремонту жилищного фонда, п.3.7.7</t>
    </r>
  </si>
  <si>
    <r>
      <t>ВД(2.1)-2-06-08-01</t>
    </r>
    <r>
      <rPr>
        <i/>
        <sz val="7"/>
        <rFont val="Arial"/>
        <family val="2"/>
      </rPr>
      <t xml:space="preserve">
Пост. Госкомтруда СССР от 05.10.1987 N 601/28-53 ТНВ на работы по текущему ремонту жилищного фонда, п.3.7.8</t>
    </r>
  </si>
  <si>
    <r>
      <t>ВД(2.1)-2-06-08-01</t>
    </r>
    <r>
      <rPr>
        <i/>
        <sz val="7"/>
        <rFont val="Arial"/>
        <family val="2"/>
      </rPr>
      <t xml:space="preserve">
Пост. Госкомтруда СССР от 05.10.1987 N 601/28-53 ТНВ на работы по текущему ремонту жилищного фонда, п.3.7.9</t>
    </r>
  </si>
  <si>
    <r>
      <t>ВД(2.1)-2-06-08-01</t>
    </r>
    <r>
      <rPr>
        <i/>
        <sz val="7"/>
        <rFont val="Arial"/>
        <family val="2"/>
      </rPr>
      <t xml:space="preserve">
Пост. Госкомтруда СССР от 05.10.1987 N 601/28-53 ТНВ на работы по текущему ремонту жилищного фонда, п.3.7.10</t>
    </r>
  </si>
  <si>
    <r>
      <t>ВД(2.1)-2-06-08-01</t>
    </r>
    <r>
      <rPr>
        <i/>
        <sz val="7"/>
        <rFont val="Arial"/>
        <family val="2"/>
      </rPr>
      <t xml:space="preserve">
Пост. Госкомтруда СССР от 05.10.1987 N 601/28-53 ТНВ на работы по текущему ремонту жилищного фонда, п.3.7.11</t>
    </r>
  </si>
  <si>
    <r>
      <t>ВД(2.1)-2-06-08-01</t>
    </r>
    <r>
      <rPr>
        <i/>
        <sz val="7"/>
        <rFont val="Arial"/>
        <family val="2"/>
      </rPr>
      <t xml:space="preserve">
Пост. Госкомтруда СССР от 05.10.1987 N 601/28-53 ТНВ на работы по текущему ремонту жилищного фонда, п.3.7.12</t>
    </r>
  </si>
  <si>
    <r>
      <t>ВД(2.1)-2-06-08-01</t>
    </r>
    <r>
      <rPr>
        <i/>
        <sz val="7"/>
        <rFont val="Arial"/>
        <family val="2"/>
      </rPr>
      <t xml:space="preserve">
Пост. Госкомтруда СССР от 05.10.1987 N 601/28-53 ТНВ на работы по текущему ремонту жилищного фонда, п.3.7.13</t>
    </r>
  </si>
  <si>
    <r>
      <t>ВД(2.1)-2-06-08-01</t>
    </r>
    <r>
      <rPr>
        <i/>
        <sz val="7"/>
        <rFont val="Arial"/>
        <family val="2"/>
      </rPr>
      <t xml:space="preserve">
Пост. Госкомтруда СССР от 05.10.1987 N 601/28-53 ТНВ на работы по текущему ремонту жилищного фонда, п.3.7.14</t>
    </r>
  </si>
  <si>
    <r>
      <t>ВД(2.1)-2-06-08-01</t>
    </r>
    <r>
      <rPr>
        <i/>
        <sz val="7"/>
        <rFont val="Arial"/>
        <family val="2"/>
      </rPr>
      <t xml:space="preserve">
Пост. Госкомтруда СССР от 05.10.1987 N 601/28-53 ТНВ на работы по текущему ремонту жилищного фонда, п.3.7.15</t>
    </r>
  </si>
  <si>
    <r>
      <t>ВД(2.1)-2-06-08-01</t>
    </r>
    <r>
      <rPr>
        <i/>
        <sz val="7"/>
        <rFont val="Arial"/>
        <family val="2"/>
      </rPr>
      <t xml:space="preserve">
Пост. Госкомтруда СССР от 05.10.1987 N 601/28-53 ТНВ на работы по текущему ремонту жилищного фонда, п.3.7.16</t>
    </r>
  </si>
  <si>
    <r>
      <t>ВД(2.1)-2-06-08-01</t>
    </r>
    <r>
      <rPr>
        <i/>
        <sz val="7"/>
        <rFont val="Arial"/>
        <family val="2"/>
      </rPr>
      <t xml:space="preserve">
Пост. Госкомтруда СССР от 05.10.1987 N 601/28-53 ТНВ на работы по текущему ремонту жилищного фонда, п.3.7.17</t>
    </r>
  </si>
  <si>
    <r>
      <t>ВД(2.1)-2-06-08-01</t>
    </r>
    <r>
      <rPr>
        <i/>
        <sz val="7"/>
        <rFont val="Arial"/>
        <family val="2"/>
      </rPr>
      <t xml:space="preserve">
Пост. Госкомтруда СССР от 05.10.1987 N 601/28-53 ТНВ на работы по текущему ремонту жилищного фонда, п.3.7.18</t>
    </r>
  </si>
  <si>
    <t>Удаление мусора из мусороприемных камер с переносными мусоросборниками, расположенных на 1-ом этаже в домах до 10 этажей</t>
  </si>
  <si>
    <t>Удаление мусора из мусороприемных камер с контейнерами, расположенных на 1-ом этаже в домах до 10 этажей</t>
  </si>
  <si>
    <t>Удаление мусора из мусороприемных камер с контейнерами, расположенных на 1-ом этаже в домах 11 этажей и выше</t>
  </si>
  <si>
    <t>Удаление мусора из мусороприемных камер с бункерами, расположенных в цокольном этаже</t>
  </si>
  <si>
    <t>Удаление мусора из мусороприемных камер с переносными мусоросборниками, расположенных в цокольном этаже</t>
  </si>
  <si>
    <t>Удаление мусора из мусороприемных камер с контейнерами, расположенных в цокольном этаже</t>
  </si>
  <si>
    <t>Удаление мусора из мусороприемных камер с бункерами, расположенных в подвале</t>
  </si>
  <si>
    <t>Удаление мусора из мусороприемных камер с переносными мусоросборниками, расположенных в подвале</t>
  </si>
  <si>
    <t>Удаление мусора из мусороприемных камер с контейнерами, расположенных в подвале</t>
  </si>
  <si>
    <t>Удаление мусора из мусороприемных камер с переносными мусоросборниками, расположенных на 1-ом этаже в домах 11 этажей и выше</t>
  </si>
  <si>
    <t>Влажное подметание пола мусороприемных камер</t>
  </si>
  <si>
    <t>Влажное подметание пола мусороприемных камер, расположенных на 1-ом этаже, в домах до 10 этажей</t>
  </si>
  <si>
    <t>Влажное подметание пола мусороприемных камер в 11-ти и более этажных домах или при наличии мусороприемных камер и мусороприемников в подвальных помещениях и цокольных этажах</t>
  </si>
  <si>
    <t>Уборка в домах до 10 этажей мусороприемных камер, расположенных на 1-ом этаже, облицованных кафельной плиткой, без шланга</t>
  </si>
  <si>
    <t>Уборка в 11-ти и более этажных домах мусороприемных камер, облицованных кафельной плиткой, расположенных в подвальных помещениях и цокольных этажах, без шланга</t>
  </si>
  <si>
    <t>Уборка в домах до 10 этажей мусороприемных камер, расположенных на 1-ом этаже, окрашенных масляной краской, без шланга</t>
  </si>
  <si>
    <t>Уборка в 11-ти и более этажных домах мусороприемных камер, окрашенных масляной краской, расположенных в подвальных помещениях и цокольных этажах, без шланга</t>
  </si>
  <si>
    <t>Уборка загрузочных клапанов мусоропроводов в 11-ти и более этажных домах при расположении мусороприемных камер в подвальных помещениях и цокольных этажах</t>
  </si>
  <si>
    <t>Уборка бункеров без шланга</t>
  </si>
  <si>
    <r>
      <t>ВД(2.1)-2-06-08-01</t>
    </r>
    <r>
      <rPr>
        <i/>
        <sz val="7"/>
        <rFont val="Arial"/>
        <family val="2"/>
      </rPr>
      <t xml:space="preserve">
Пост. Госкомтруда СССР от 05.10.1987 N 601/28-53 ТНВ на работы по текущему ремонту жилищного фонда, п.3.7.3</t>
    </r>
  </si>
  <si>
    <t>Дезинфекция всех элементов ствола мусоропровода с помощью ершей с ручными лебедками</t>
  </si>
  <si>
    <t>Проверка наличия тяги в дымовентиляционных каналах</t>
  </si>
  <si>
    <t>Проведение технических осмотров и устранение незначительных неисправностей в системе вентиляции</t>
  </si>
  <si>
    <t>Ревизия теплоцентра</t>
  </si>
  <si>
    <t>теплоцентр</t>
  </si>
  <si>
    <t>Чистка грязевиков</t>
  </si>
  <si>
    <t>Промывка и чистка элеваторов</t>
  </si>
  <si>
    <t>шт</t>
  </si>
  <si>
    <t xml:space="preserve"> м канализационного лежака</t>
  </si>
  <si>
    <t>Проверка исправности канализационных вытяжек</t>
  </si>
  <si>
    <t>Осмотр внутриквартирных устройств системы центрального отопления</t>
  </si>
  <si>
    <t>Ликвидация воздушных пробок в стояке системы отопления</t>
  </si>
  <si>
    <t>стояк</t>
  </si>
  <si>
    <t>Регулировка и наладка систем отопления</t>
  </si>
  <si>
    <t>лестничная площадка</t>
  </si>
  <si>
    <t>Осмотр силовых установок</t>
  </si>
  <si>
    <t>Проверка изоляции электропроводки и ее укрепление</t>
  </si>
  <si>
    <t>Проверка заземления оболочки электрокабеля</t>
  </si>
  <si>
    <t>Замеры сопротивления изоляции проводов</t>
  </si>
  <si>
    <t>Обслуживание антенного оборудования</t>
  </si>
  <si>
    <t>кв.м</t>
  </si>
  <si>
    <t>Обслуживание сетей радиовещания на радиоточки</t>
  </si>
  <si>
    <t>пог.м кабеля</t>
  </si>
  <si>
    <t xml:space="preserve">III. Работы и услуги по содержанию иного общего имущества в многоквартирном доме
</t>
  </si>
  <si>
    <t>Подметание лестничных площадок и маршей нижних трех этажей с предварительным их увлажнением (в доме без лифтов и мусоропровода)</t>
  </si>
  <si>
    <t>Подметание лестничных площадок и маршей нижних трех этажей с предварительным их увлажнением (в доме без лифтов с мусоропроводом)</t>
  </si>
  <si>
    <t>Подметание лестничных площадок и маршей нижних трех этажей с предварительным их увлажнением (в доме с лифтами без мусоропроводов)</t>
  </si>
  <si>
    <t>Подметание лестничных площадок и маршей нижних трех этажей с предварительным их увлажнением (в доме с лифтами и мусоропроводом)</t>
  </si>
  <si>
    <t>Подметание лестничных площадок и маршей выше третьего этажа с предварительным их увлажнением (в доме без лифтов и мусоропровода)</t>
  </si>
  <si>
    <t>Подметание лестничных площадок и маршей выше третьего этажа с предварительным их увлажнением (в доме с лифтами без мусоропроводов)</t>
  </si>
  <si>
    <t>Подметание лестничных площадок и маршей выше третьего этажа с предварительным их увлажнением (в доме без лифтов с мусоропроводом)</t>
  </si>
  <si>
    <t>Подметание лестничных площадок и маршей выше третьего этажа с предварительным их увлажнением (в доме с лифтами и мусоропроводом)</t>
  </si>
  <si>
    <t>Обслуживание сетей радиовещания</t>
  </si>
  <si>
    <t>Мытье лестничных площадок и маршей нижних трех этажей (в доме без лифтов и мусоропровода)</t>
  </si>
  <si>
    <t>Мытье лестничных площадок и маршей нижних трех этажей (в доме без лифтов с мусоропроводом)</t>
  </si>
  <si>
    <t>Мытье лестничных площадок и маршей нижних трех этажей (в доме с лифтами без мусоропроводов)</t>
  </si>
  <si>
    <t>Мытье лестничных площадок и маршей нижних трех этажей (в доме с лифтами и мусоропроводом)</t>
  </si>
  <si>
    <t>Мытье лестничных площадок и маршей выше третьего этажа (в доме без лифтов и мусоропровода)</t>
  </si>
  <si>
    <t>Мытье лестничных площадок и маршей выше третьего этажа (в доме с лифтами без мусоропроводов)</t>
  </si>
  <si>
    <t xml:space="preserve">Мытье лестничных площадок и маршей выше третьего этажа (в доме с лифтами и мусоропроводом)
</t>
  </si>
  <si>
    <t>Подметание  с предварительным  увлажнением фойе, холлов, вестибюлей, коридоров, выставочных залов</t>
  </si>
  <si>
    <t>Мытье фойе, холлов, вестибюлей, коридоров, выставочных залов</t>
  </si>
  <si>
    <t>Протирка туалетов, душевых</t>
  </si>
  <si>
    <t>Мытье туалетов, душевых</t>
  </si>
  <si>
    <t>Влажная протирка стен (с моющим средством)</t>
  </si>
  <si>
    <t>Влажная протирка почтовых ящиков (с моющим средством)</t>
  </si>
  <si>
    <t>кв.м почтовых ящиков</t>
  </si>
  <si>
    <t>Влажная протирка почтовых ящиков (с мылом)</t>
  </si>
  <si>
    <t>Влажная протирка оконных решеток (с моющим средством)</t>
  </si>
  <si>
    <t xml:space="preserve"> кв.м решеток</t>
  </si>
  <si>
    <t>Влажная протирка оконных решеток (с мылом)</t>
  </si>
  <si>
    <t xml:space="preserve"> кв. м шкафов для электросчетчиков слаботочных устройств</t>
  </si>
  <si>
    <t>кв. м шкафов для электросчетчиков слаботочных устройств</t>
  </si>
  <si>
    <t>Влажная протирка перил лестниц (с моющим средством)</t>
  </si>
  <si>
    <t>кв.м перил лестниц</t>
  </si>
  <si>
    <t>Влажная протирка перил лестниц (с мылом)</t>
  </si>
  <si>
    <t>Влажная протирка стен (с мылом)</t>
  </si>
  <si>
    <t>кв. м стен</t>
  </si>
  <si>
    <t>кв. м отопительных приборов</t>
  </si>
  <si>
    <t>Обметание пыли с потолков</t>
  </si>
  <si>
    <t xml:space="preserve"> кв. м потолков</t>
  </si>
  <si>
    <t>шт.</t>
  </si>
  <si>
    <t>Мытье и протирка оконных рам и переплетов в помещениях общего пользования</t>
  </si>
  <si>
    <t>Мытье и протирка легкодоступных стекол в окнах в помещениях общего пользования</t>
  </si>
  <si>
    <t>Мытье и протирка труднодоступных стекол в окнах в помещениях общего пользования</t>
  </si>
  <si>
    <t>кв.м территории</t>
  </si>
  <si>
    <t xml:space="preserve"> кв. м</t>
  </si>
  <si>
    <t>Очистка урн от мусора</t>
  </si>
  <si>
    <t>урна</t>
  </si>
  <si>
    <t>Уборка газонов от случайного мусора</t>
  </si>
  <si>
    <t>Дезинсекция помещений</t>
  </si>
  <si>
    <t>Дератизация помещений</t>
  </si>
  <si>
    <t>кв. м дверей</t>
  </si>
  <si>
    <t>кв. м  площади помещений</t>
  </si>
  <si>
    <t>кв. м площади мусороприемных камер</t>
  </si>
  <si>
    <t xml:space="preserve"> кв. м  площади мусороприемных камер</t>
  </si>
  <si>
    <t>кв. м  площади мусороприемных камер</t>
  </si>
  <si>
    <t xml:space="preserve"> кв. м  площади помещений</t>
  </si>
  <si>
    <t xml:space="preserve"> кв. м  убираемой площади</t>
  </si>
  <si>
    <t>кв. м  убираемой площади</t>
  </si>
  <si>
    <t>кв. м  подоконников</t>
  </si>
  <si>
    <t>кв. м  дверей</t>
  </si>
  <si>
    <t>кв. м  оконных рам</t>
  </si>
  <si>
    <t xml:space="preserve"> кв. м  окон</t>
  </si>
  <si>
    <t>ИТОГО по разделу</t>
  </si>
  <si>
    <t>Выполнение работ в целях содержания в надлежащем техническом состоянии систем внутридомового газового оборудования систем многоквартирного дома, предусмотренных перечнем услуг и работ, осуществляется привлекаемыми специализированными организациями в соответствии с договором</t>
  </si>
  <si>
    <t>Общая площадь (сумма площадей жилых и нежилых помещений) многоквартирного дома, кв.м</t>
  </si>
  <si>
    <t>Техническое обслуживание электрического запирающего устройства</t>
  </si>
  <si>
    <t>Стоимость содержания на 1 кв.м. в месяц, руб</t>
  </si>
  <si>
    <t xml:space="preserve"> 2. Работы, выполняемые в зданиях с подвалами:</t>
  </si>
  <si>
    <t>Мытье лестничных площадок и маршей выше третьего этажа (в доме без лифтов с мусоропроводом)</t>
  </si>
  <si>
    <t>Текущий ремонт:</t>
  </si>
  <si>
    <r>
      <t xml:space="preserve">Открытие подвальных окон, продухов </t>
    </r>
    <r>
      <rPr>
        <i/>
        <sz val="7"/>
        <rFont val="Arial"/>
        <family val="2"/>
      </rPr>
      <t xml:space="preserve">
</t>
    </r>
  </si>
  <si>
    <t xml:space="preserve">Закрытие подвальных окон, продухов (со стоимостью материалов - фанера, сетка, гвозди и т.п.))       </t>
  </si>
  <si>
    <t>кв. м подвалов, техподполий</t>
  </si>
  <si>
    <r>
      <t>Открытие слуховых окон</t>
    </r>
    <r>
      <rPr>
        <i/>
        <sz val="7"/>
        <rFont val="Arial"/>
        <family val="2"/>
      </rPr>
      <t xml:space="preserve">
</t>
    </r>
  </si>
  <si>
    <t xml:space="preserve">Закрытие слуховых окон (со стоимостью материалов - фанера, сетка, гвозди и т.п.))       </t>
  </si>
  <si>
    <r>
      <t>Закрытие слуховых окон  (материал - б/у)</t>
    </r>
    <r>
      <rPr>
        <i/>
        <sz val="7"/>
        <rFont val="Arial"/>
        <family val="2"/>
      </rPr>
      <t xml:space="preserve">
</t>
    </r>
  </si>
  <si>
    <t>Восстановление фурнитуры дверных заполнений:</t>
  </si>
  <si>
    <t>Смена замков накладных</t>
  </si>
  <si>
    <t>Другой фурнитуры</t>
  </si>
  <si>
    <t>индивидуально</t>
  </si>
  <si>
    <t>замок</t>
  </si>
  <si>
    <t>I.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многоквартирных и жилых  домов</t>
  </si>
  <si>
    <t>Дезинфекция мусороприемных камер</t>
  </si>
  <si>
    <t>Осмотр системы центрального отопления и горячего водоснабжения  в чердачных и подвальных помещениях</t>
  </si>
  <si>
    <t>Осмотр системы ХВС, канализации в чердачных и подвальных помещениях</t>
  </si>
  <si>
    <t>кв. м площади помещений</t>
  </si>
  <si>
    <t>кв. м осматриваемых помещений</t>
  </si>
  <si>
    <t>Осмотр внутриквартирных устройств системы водопровода, канализации и горячего водоснабжения</t>
  </si>
  <si>
    <t xml:space="preserve"> квартира</t>
  </si>
  <si>
    <t>Контроль состояния и незамедлительное восстановление герметичности участков трубопроводов и соединительных элементов в случае их разгерметизации  (подчеканка раструбов)</t>
  </si>
  <si>
    <t>Прочистка канализационного лежака, выпусков (профилактическая)</t>
  </si>
  <si>
    <t>Прочистка канализационного стояка</t>
  </si>
  <si>
    <t>погонный метр канализационного стояка</t>
  </si>
  <si>
    <t>Ликвидация засоров канализации</t>
  </si>
  <si>
    <t>Чистка фильтров</t>
  </si>
  <si>
    <t>фильтр</t>
  </si>
  <si>
    <t xml:space="preserve">ТПЦ 
(кол-во задвижек)
</t>
  </si>
  <si>
    <t xml:space="preserve">6. Работы, выполняемые в целях надлежащего содержания электрооборудования, радио- и телекоммуникационного оборудования в многоквартирных и жилых домах
</t>
  </si>
  <si>
    <t xml:space="preserve">5. Общие работы, выполняемые для надлежащего содержания систем водоснабжения (холодного и горячего), отопления и водоотведения в многоквартирных и жилых домах.
Работы, выполняемые в целях надлежащего содержания систем теплоснабжения (отопление, горячее водоснабжение) в многоквартирных и жилых домах.
</t>
  </si>
  <si>
    <t>Осмотр электросети, арматуры, электрооборудования на лестничных клетках, устранение неисправностей</t>
  </si>
  <si>
    <t xml:space="preserve">Осмотр электросетей в подвалах, чердаках, тамбурах, устранение неисправностей </t>
  </si>
  <si>
    <t>электромотор</t>
  </si>
  <si>
    <t>измерение</t>
  </si>
  <si>
    <t xml:space="preserve">погонный метр
</t>
  </si>
  <si>
    <t xml:space="preserve">Замена перегоревших ламп светильников  </t>
  </si>
  <si>
    <t>лампа энергосберегающая</t>
  </si>
  <si>
    <t>Замена патронов</t>
  </si>
  <si>
    <t>патрон</t>
  </si>
  <si>
    <t>Снятие показаний ИПУ коммунальных ресурсов</t>
  </si>
  <si>
    <t>Выполнение работ в целях содержания в надлежащем техническом состоянии систем противопожарной защиты и охранных систем многоквартирного дома, предусмотренных перечнем услуг и работ</t>
  </si>
  <si>
    <t xml:space="preserve">7. Работы, выполняемые в целях надлежащего содержания систем внутридомового газового оборудования в многоквартирном доме:
</t>
  </si>
  <si>
    <t>Выполнение работ в целях содержания в надлежащем техническом состоянии систем  лифтового хозяйства многоквартирного дома, предусмотренных перечнем услуг и работ</t>
  </si>
  <si>
    <t>1. Работы по содержанию помещений, входящих в состав общего имущества в многоквартирном доме:</t>
  </si>
  <si>
    <t>1.1 Уборка подъезда</t>
  </si>
  <si>
    <t>Влажная протирка подоконников</t>
  </si>
  <si>
    <t xml:space="preserve">Протирка пыли с колпаков светильников </t>
  </si>
  <si>
    <t>1.2 Работы по содержанию кабин лифтов</t>
  </si>
  <si>
    <t>Влажное подметание кабин лифта (пол)</t>
  </si>
  <si>
    <t>кв. м</t>
  </si>
  <si>
    <t>Мытье кабин лифта (пол)</t>
  </si>
  <si>
    <t>Протирка стен, дверей кабины лифта</t>
  </si>
  <si>
    <t>Мытье стен, дверей кабины лифта</t>
  </si>
  <si>
    <t>Подметание крыльца и площадки перед входом в подъезд</t>
  </si>
  <si>
    <t>Уборка крыльца и площадки перед входом в подъезд (в т.ч. от снежно-ледяных образований)</t>
  </si>
  <si>
    <t>Посыпка крыльца и площадки перед входом в подъезд песком</t>
  </si>
  <si>
    <t xml:space="preserve">кв.м </t>
  </si>
  <si>
    <t xml:space="preserve">Укладка снега в валы или кучи после механизированной уборки </t>
  </si>
  <si>
    <t>куб. м</t>
  </si>
  <si>
    <t>Уборка контейнерной площадки от снега</t>
  </si>
  <si>
    <t>Уборка контейнерной площадки от мусора</t>
  </si>
  <si>
    <t>Очистка крышек люков колодцев и пожарных гидрантов от снега и льда толщиной слоя свыше 5 см (при наличии в составе общего имущества МКД)</t>
  </si>
  <si>
    <t>Вывоз снега</t>
  </si>
  <si>
    <t>Откачка воды</t>
  </si>
  <si>
    <t>Подметание территории (тротуары)</t>
  </si>
  <si>
    <t>Подметание проездов при ручной уборке</t>
  </si>
  <si>
    <t>Подметание проездов при механизированной уборке</t>
  </si>
  <si>
    <t>Очистка от мусора урн</t>
  </si>
  <si>
    <t>штука</t>
  </si>
  <si>
    <t>Промывка урн</t>
  </si>
  <si>
    <t>Уборка контейнерной площадки</t>
  </si>
  <si>
    <t>Уборка газонов от листьев, сучьев, мусора</t>
  </si>
  <si>
    <t>Уборка детских и хозяйственных площадок</t>
  </si>
  <si>
    <t>Сохранность и уход за зелеными насаждениями (формовочная обрезка деревьев, кустарников, устройство цветников)</t>
  </si>
  <si>
    <t>Окраска детского оборудования и малых архитектурных форм</t>
  </si>
  <si>
    <t>Стрижка (выкашивание) газонов</t>
  </si>
  <si>
    <t>Организация накопления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</si>
  <si>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расчетным методом по фактическим данным</t>
  </si>
  <si>
    <t>Устранение аварии на внутридомовых инженерных сетях (в зависимости от срока эксплуатации многоквартирного дома и наличия внутридомового газового оборудования)</t>
  </si>
  <si>
    <r>
      <t>Закрытие подвальных окон, продухов  (материал - существующий)</t>
    </r>
    <r>
      <rPr>
        <i/>
        <sz val="7"/>
        <rFont val="Arial"/>
        <family val="2"/>
      </rPr>
      <t xml:space="preserve">
</t>
    </r>
  </si>
  <si>
    <t>Предотвращение сырости и замачивания грунтов оснований и фундаментов, конструкций подвалов и техподполий (Осушение ручными насосами)</t>
  </si>
  <si>
    <t>Предотвращение сырости и замачивания грунтов оснований и фундаментов, конструкций подвалов и техподполий (Осушение  электрическими насосами)</t>
  </si>
  <si>
    <t xml:space="preserve">6. Работы, выполняемые в целях надлежащего содержания внутренней отделки многоквартирных и жилых  домов
</t>
  </si>
  <si>
    <t>5. Работы, выполняемые в целях надлежащего содержания крыш многоквартирных и жилых  домов:</t>
  </si>
  <si>
    <t>3. Работы, выполняемые для надлежащего содержания стен многоквартирных и жилых  домов.                                                                                                                                                                                                                                                                                               Работы, выполняемые в целях надлежащего содержания колонн и столбов многоквартирных и жилых  домов.                                                                                                                                                                                                                                                                        
Работы, выполняемые в целях надлежащего содержания фасадов многоквартирных и жилых  домов.                                                                                                                                                                                                                                                                                       Работы, выполняемые в целях надлежащего содержания перегородок в многоквартирных и жилых  домах.</t>
  </si>
  <si>
    <t>-</t>
  </si>
  <si>
    <t>Проверка технического состояния и работоспособности элементов мусоропровода, устранение мелких неисправностей</t>
  </si>
  <si>
    <t xml:space="preserve"> метр мусоропровода</t>
  </si>
  <si>
    <t>Уборка мусороприемных камер (мытье стен и полов)</t>
  </si>
  <si>
    <t>Уборка в 11-ти и более этажных домах мусороприемных камер, расположенных в подвальных помещениях и цокольных этажах, с помощью шланга</t>
  </si>
  <si>
    <t>2. Работы, выполняемые в целях надлежащего содержания систем вентиляции и дымоудаления многоквартирных и жилых  домов:</t>
  </si>
  <si>
    <t>Выполнение работ в целях содержания в надлежащем техническом состоянии систем дымоудаления</t>
  </si>
  <si>
    <t>индивидуально, осуществляется привлекаемыми специализированными организациями в соответствии с договором</t>
  </si>
  <si>
    <t>Работы, выполняемые в целях надлежащего содержания печей, каминов и очагов в многоквартирных домах</t>
  </si>
  <si>
    <t>3. Работы, выполняемые в целях надлежащего содержания печей, каминов и очагов в многоквартирных и жилых  домах:</t>
  </si>
  <si>
    <t>раструб</t>
  </si>
  <si>
    <t>погонный метр трубы</t>
  </si>
  <si>
    <t>в соответствии с договором</t>
  </si>
  <si>
    <t>Обслуживание общедомового прибора учета коммунальных ресурсов: холодная вода</t>
  </si>
  <si>
    <t>Консервация, расконсервация системы отопления (открытие, закрытие задвижек при гидравлических испытаниях)</t>
  </si>
  <si>
    <t xml:space="preserve"> куб. м здания</t>
  </si>
  <si>
    <t>МКД</t>
  </si>
  <si>
    <t>индивидуально, в соответствии с договором</t>
  </si>
  <si>
    <t xml:space="preserve">1.1.2. Подметание лестничных площадок и маршей с предварительным их увлажнением, выше третьего этажа
</t>
  </si>
  <si>
    <t>Влажная протирка отопительных приборов</t>
  </si>
  <si>
    <t xml:space="preserve">в соответствии с договором </t>
  </si>
  <si>
    <t>Работы по содержанию кабин лифтов</t>
  </si>
  <si>
    <t>1.2.</t>
  </si>
  <si>
    <t xml:space="preserve">1.1.4.
</t>
  </si>
  <si>
    <t xml:space="preserve"> Мытье лестничных площадок и маршей выше третьего этажа</t>
  </si>
  <si>
    <t xml:space="preserve">1.1.2. </t>
  </si>
  <si>
    <t xml:space="preserve">Подметание лестничных площадок и маршей с предварительным их увлажнением, выше третьего этажа
</t>
  </si>
  <si>
    <t xml:space="preserve">1.1.1. </t>
  </si>
  <si>
    <t xml:space="preserve">Подметание лестничных площадок и маршей с предварительным их увлажнением, нижних трех этажей
Подметание лестничных площадок и маршей с предварительным их увлажнением, нижних трех этажей
</t>
  </si>
  <si>
    <t xml:space="preserve">1.1.3. 
</t>
  </si>
  <si>
    <t>Мытье лестничных площадок и маршей нижних трех этажей</t>
  </si>
  <si>
    <t xml:space="preserve">2.2. </t>
  </si>
  <si>
    <t>Уборка крыльца и площадки перед входом в подъезд</t>
  </si>
  <si>
    <t xml:space="preserve">2.1. </t>
  </si>
  <si>
    <t xml:space="preserve">Уборка тротуаров </t>
  </si>
  <si>
    <t xml:space="preserve">2.3. </t>
  </si>
  <si>
    <t xml:space="preserve">Уборка проездов </t>
  </si>
  <si>
    <t xml:space="preserve">2.3.1. </t>
  </si>
  <si>
    <t xml:space="preserve">Ручная уборка проездов </t>
  </si>
  <si>
    <t xml:space="preserve">2.3.2. </t>
  </si>
  <si>
    <t>Механизированная уборка проездов</t>
  </si>
  <si>
    <t xml:space="preserve">расчетным методом по фактическим данным </t>
  </si>
  <si>
    <t>Работы по содержанию придомовой территории в теплый период года</t>
  </si>
  <si>
    <t xml:space="preserve">3. 
</t>
  </si>
  <si>
    <t>Ремонт и замена контейнеров для сбора и накопления ТКО (в т.ч. окраска контейнеров, расположенных на контейнерной площадке, замена колес у контейнеров, расположенных в  мусороприемных камерах)</t>
  </si>
  <si>
    <t>сметные расчеты, калькуляции</t>
  </si>
  <si>
    <t xml:space="preserve">кв.м общей площади (только площадь ОДИ) </t>
  </si>
  <si>
    <t>ИТОГО по содержанию общего имущества</t>
  </si>
  <si>
    <t>Очистка подвальных помещений и техподполья от мусора (Подметание подвалов без предварительного увлажнения)</t>
  </si>
  <si>
    <r>
      <t xml:space="preserve">Осмотр каменных, кирпичных, панельных, монолитных, блочных стен, фасадов </t>
    </r>
    <r>
      <rPr>
        <i/>
        <sz val="7"/>
        <rFont val="Arial"/>
        <family val="2"/>
      </rPr>
      <t xml:space="preserve">
</t>
    </r>
  </si>
  <si>
    <t>Осмотр железобетонных покрытий, полов</t>
  </si>
  <si>
    <t>Очистка кровли и козырьков от снега, сбивание сосулек</t>
  </si>
  <si>
    <t xml:space="preserve">выполняемых в соответствии с минимальным перечнем услуг и работ, необходимых для обеспечения надлежащего содержания общего имущества в многоквартирных и жилых домах </t>
  </si>
  <si>
    <t>4. Работы, выполняемые в целях надлежащего содержания перекрытий и покрытий многоквартирных и жилых  домов.                                                                                                                                                                                                                                 Работы, выполняемые в целях надлежащего содержания балок (ригелей) перекрытий и покрытий многоквартирных и жилых  домов.
Работы, выполняемые в целях надлежащего содержания лестниц многоквартирных и жилых  домов.
Работы, выполняемые в целях надлежащего содержания полов помещений, относящихся к общему имуществу в многоквартирных и жилых  домах.</t>
  </si>
  <si>
    <t xml:space="preserve">7. Работы, выполняемые в целях надлежащего содержания оконных и дверных заполнений помещений, относящихся к общему имуществу в многоквартирных и жилых  домах.
</t>
  </si>
  <si>
    <t>1. Работы, выполняемые в целях надлежащего содержания мусоропроводов многоквартирных и жилых домов</t>
  </si>
  <si>
    <t>Обслуживание и очистка мусоропроводов, мусороприемных камер (удаление мусора из мусороприемных камер)</t>
  </si>
  <si>
    <t xml:space="preserve"> Уборка бункеров:</t>
  </si>
  <si>
    <t>Уборка загрузочных клапанов мусоропровода:</t>
  </si>
  <si>
    <t>Дезинфекция всех элементов ствола мусоропровода:</t>
  </si>
  <si>
    <t>Мытье и протирка дверей мусороприемных камер</t>
  </si>
  <si>
    <t>4. Работы, выполняемые в целях надлежащего содержания индивидуальных тепловых пунктов и водоподкачек в многоквартирных и жилых  домах:</t>
  </si>
  <si>
    <t>Обслуживание общедомового прибора учета коммунальных ресурсов: электрическая энергия</t>
  </si>
  <si>
    <t xml:space="preserve">Обслуживание общедомового прибора учета коммунальных ресурсов: отопление и горячая вода </t>
  </si>
  <si>
    <t>Влажная протирка шкафов для электросчетчиков (с моющим средством)</t>
  </si>
  <si>
    <t>Влажная протирка шкафов для электросчетчиков (с мылом)</t>
  </si>
  <si>
    <t>Влажная протирка дверных коробок и полотен дверей</t>
  </si>
  <si>
    <t>Мытье окон:</t>
  </si>
  <si>
    <t>Подметание территории от снега</t>
  </si>
  <si>
    <t xml:space="preserve">Сдвигание снега </t>
  </si>
  <si>
    <t>Посыпка территории песком</t>
  </si>
  <si>
    <t>20% от фонда оплаты труда</t>
  </si>
  <si>
    <t>радиоточка</t>
  </si>
  <si>
    <r>
      <t>Расходы на управление многоквартирным домом</t>
    </r>
    <r>
      <rPr>
        <b/>
        <i/>
        <sz val="12"/>
        <rFont val="Arial"/>
        <family val="2"/>
      </rPr>
      <t xml:space="preserve"> </t>
    </r>
    <r>
      <rPr>
        <i/>
        <sz val="12"/>
        <rFont val="Arial"/>
        <family val="2"/>
      </rPr>
      <t>(14% - на управление МКД, 6% - расходы на расчет платежей)</t>
    </r>
  </si>
  <si>
    <t>Общеэксплуатационные расходы (73,5%)</t>
  </si>
  <si>
    <t>Прибыль (1,5%)</t>
  </si>
  <si>
    <t>НДС, 20%</t>
  </si>
  <si>
    <t>Трудовые ресурсы (рабочие)</t>
  </si>
  <si>
    <t>Трудовые ресурсы (механизаторы)</t>
  </si>
  <si>
    <t>Стоимость, руб., в том числе</t>
  </si>
  <si>
    <t>Слив и наполнение водой системы центрального отопления (за 4 раза)</t>
  </si>
  <si>
    <t xml:space="preserve">Примечания:                                                                                                                                             
</t>
  </si>
  <si>
    <t xml:space="preserve">Информация о расчетных данных, предусмотренных в предлагаемом КАЛЬКУЛЯТОРЕ.
1. Расчет размера платы за содержание жилого помещения в многоквартирном доме производится в соответствии с действующей нормативно-методической базой ценообразования в жилищно-коммунальном хозяйстве с использованием программного комплекса «Ваш дом».
2. Затраты на трудовые ресурсы приняты в соответствии с действующим трудовым законодательством.
3. Стоимости материальных ресурсов, эксплуатации машин и механизмов учтены на основании сборников средних сметных цен Архангельской области, утверждаемых распоряжением министерства строительства и архитектуры Архангельской области (для II ценовой зоны), а также сборником «Ваш дом».
4. Параметры по общеэксплуатационным расходам,  прибыли, расходах на управление приняты в соответствии с данными, указанными в технической части сборника «Ваш дом», а также на основании обоснованных предложений управляющих организаций за предыдущие периоды регулирования размера платы за содержание жилого помещения.
</t>
  </si>
  <si>
    <t>куб.м воды</t>
  </si>
  <si>
    <t xml:space="preserve">4. Другие работы в соответствии с Постановлением Правительства РФ от 03.04.2013 № 290 "О минимальном перечне услуг и работ…"
</t>
  </si>
  <si>
    <t xml:space="preserve">8. Работы, выполняемые в целях надлежащего содержания и ремонта лифта (лифтов) в многоквартирном доме:
</t>
  </si>
  <si>
    <t xml:space="preserve">2. Работы по содержанию земельного участка, на котором расположен многоквартирный дом, с элементами озеленения и благоустройства, иными объектами, предназначенными для обслуживания и эксплуатации этого дома (далее - придомовая территория), в холодный период года:
</t>
  </si>
  <si>
    <t xml:space="preserve">5.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выполнения заявок населения
</t>
  </si>
  <si>
    <t xml:space="preserve">                                                                                        Порядок расчета размера платы за содержание жилого помещения в многоквартирном доме с применением  КАЛЬКУЛЯТОРА стоимости жилищных услуг.
1. Общие сведения.
КАЛЬКУЛЯТОР предназначен для расчета ориентировочой стоимости жилищных услуг, которые оплачивают собственники многоквартирных домов. Данный КАЛЬКУЛЯТОР нельзя расценивать как инструмент для формирования платежных документов.
КАЛЬКУЛЯТОР позволит в несколько шагов рассчитать стоимость различных работ и услуг по содержанию и обслуживанию любого многоквартирного дома в зависимости от степени его благоустройства, конструктивных и технических особенностей.
В калькуляторе для каждой работы необходимо указать объем (в соответствии с единицей измерения, указанной в столбце «3» таблицы «Измеритель») и периодичность ее выполнения. Источником для определения объемов и периодичности выполняемых работ являются договор управления многоквартирным домом, технический паспорт многоквартирного дома, а также заключенные договоры со специализированными организациями,  которые находятся в Управляющей организации.
Кроме того, с основными характеристиками многоквартирного дома возможно ознакомиться на сайтах ГИС ЖКХ (вкладка «Реестры»  -&gt; «Реестры объектов жилищного фонда») и www.reformagkh.ru. 
2. Порядок расчета.
В ячейке «D6» Excel «Общая площадь (сумма площадей жилых и нежилых помещений) многоквартирного дома, кв.м» необходимо указать площадь жилых и нежилых помещений в доме. В ячейке «D7» Excel «Общая площадь здания, кв.м» - указать общую площадь дома в соответствии с техническим паспортом.
Далее в таблице предусмотрены столбцы «4» и «5», выделенные желтым цветом, с наименованием «Ячейки для заполнения по конкретному МКД». В указанных ячейках необходимо в соответствии с указанным «Измерителем» проставить физические объемы выполняемых работ и периодичность их выполнения. В случае если работа в конкретном доме не выполняется, либо не предусмотрена видом благоустройства дома, его конструктивными и техническими характеристиками, необходимо в столбцах «4» и «5» проставить цифру «0».
После заполнения столбцов «4» и «5» таблицы, в «13» столбце таблицы автоматически сформируется  стоимость выполняемых работ за год. Также в ячейке «К7» Excel автоматически выполнится расчет стоимости содержания на 1 кв.м. в месяц, руб. Это и будет «тарифом» по содержанию многоквартирного дома.
</t>
  </si>
  <si>
    <t>Осмотр деревянных конструкций крыш</t>
  </si>
  <si>
    <t>Промывка теплообменника (при закрытой системе ГВС)</t>
  </si>
  <si>
    <t>Обход тепловых пунктов, замеры параметров теплоносителя</t>
  </si>
  <si>
    <t>Проведение технических осмотров повысительных насосных станций холодного и горячего водоснабжения (при наличии в составе общего имущества)</t>
  </si>
  <si>
    <t>,</t>
  </si>
  <si>
    <t>II.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многоквартирных и жилых  домах.</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</si>
</sst>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р_."/>
    <numFmt numFmtId="177" formatCode="0.000"/>
    <numFmt numFmtId="178" formatCode="0.000000"/>
    <numFmt numFmtId="179" formatCode="0.00000"/>
    <numFmt numFmtId="180" formatCode="0.0000"/>
    <numFmt numFmtId="181" formatCode="0.0"/>
    <numFmt numFmtId="182" formatCode="#,##0.000_р_."/>
    <numFmt numFmtId="183" formatCode="0.0000000"/>
    <numFmt numFmtId="184" formatCode="#,##0.0000_р_."/>
    <numFmt numFmtId="185" formatCode="#,##0.0_р_."/>
    <numFmt numFmtId="186" formatCode="#,##0.0"/>
  </numFmts>
  <fonts count="67">
    <font>
      <sz val="10"/>
      <name val="Arial Cyr"/>
      <family val="0"/>
    </font>
    <font>
      <b/>
      <sz val="10"/>
      <name val="Arial"/>
      <family val="2"/>
    </font>
    <font>
      <sz val="9"/>
      <name val="Arial"/>
      <family val="2"/>
    </font>
    <font>
      <sz val="8"/>
      <name val="Arial"/>
      <family val="2"/>
    </font>
    <font>
      <sz val="10"/>
      <name val="Arial"/>
      <family val="2"/>
    </font>
    <font>
      <b/>
      <sz val="12"/>
      <name val="Arial"/>
      <family val="2"/>
    </font>
    <font>
      <b/>
      <sz val="8"/>
      <name val="Arial"/>
      <family val="2"/>
    </font>
    <font>
      <b/>
      <sz val="9"/>
      <name val="Arial"/>
      <family val="2"/>
    </font>
    <font>
      <i/>
      <sz val="7"/>
      <name val="Arial"/>
      <family val="2"/>
    </font>
    <font>
      <sz val="12"/>
      <name val="Arial"/>
      <family val="2"/>
    </font>
    <font>
      <i/>
      <sz val="14"/>
      <name val="Arial"/>
      <family val="2"/>
    </font>
    <font>
      <b/>
      <sz val="11"/>
      <name val="Arial"/>
      <family val="2"/>
    </font>
    <font>
      <b/>
      <sz val="14"/>
      <name val="Arial"/>
      <family val="2"/>
    </font>
    <font>
      <b/>
      <sz val="11"/>
      <name val="Arial Cyr"/>
      <family val="0"/>
    </font>
    <font>
      <b/>
      <sz val="12"/>
      <name val="Arial Cyr"/>
      <family val="0"/>
    </font>
    <font>
      <b/>
      <i/>
      <sz val="14"/>
      <name val="Arial"/>
      <family val="2"/>
    </font>
    <font>
      <sz val="11"/>
      <name val="Arial Cyr"/>
      <family val="0"/>
    </font>
    <font>
      <b/>
      <sz val="16"/>
      <name val="Arial"/>
      <family val="2"/>
    </font>
    <font>
      <i/>
      <sz val="10"/>
      <name val="Arial Cyr"/>
      <family val="0"/>
    </font>
    <font>
      <b/>
      <sz val="14"/>
      <name val="Arial Cyr"/>
      <family val="0"/>
    </font>
    <font>
      <b/>
      <sz val="10"/>
      <name val="Arial Cyr"/>
      <family val="0"/>
    </font>
    <font>
      <i/>
      <sz val="9"/>
      <name val="Arial"/>
      <family val="2"/>
    </font>
    <font>
      <i/>
      <sz val="8"/>
      <name val="Arial"/>
      <family val="2"/>
    </font>
    <font>
      <i/>
      <sz val="10"/>
      <name val="Arial"/>
      <family val="2"/>
    </font>
    <font>
      <i/>
      <sz val="11"/>
      <name val="Arial"/>
      <family val="2"/>
    </font>
    <font>
      <b/>
      <i/>
      <sz val="12"/>
      <name val="Arial"/>
      <family val="2"/>
    </font>
    <font>
      <sz val="14"/>
      <name val="Arial"/>
      <family val="2"/>
    </font>
    <font>
      <sz val="9"/>
      <name val="Arial Cyr"/>
      <family val="0"/>
    </font>
    <font>
      <i/>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gray125">
        <bgColor rgb="FFFFFF00"/>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double"/>
      <right style="double"/>
      <top style="double"/>
      <bottom style="double"/>
    </border>
    <border>
      <left style="thin"/>
      <right style="thin"/>
      <top style="thin"/>
      <bottom style="thin"/>
    </border>
    <border>
      <left>
        <color indexed="63"/>
      </left>
      <right style="double"/>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141">
    <xf numFmtId="0" fontId="0" fillId="0" borderId="0" xfId="0" applyAlignment="1">
      <alignment/>
    </xf>
    <xf numFmtId="0" fontId="4" fillId="0" borderId="0" xfId="0" applyFont="1" applyFill="1" applyAlignment="1">
      <alignment/>
    </xf>
    <xf numFmtId="0" fontId="11" fillId="0" borderId="0" xfId="0" applyFont="1" applyFill="1" applyAlignment="1">
      <alignment horizontal="center" vertical="top" wrapText="1"/>
    </xf>
    <xf numFmtId="0" fontId="13" fillId="0" borderId="0" xfId="0" applyFont="1" applyFill="1" applyAlignment="1">
      <alignment/>
    </xf>
    <xf numFmtId="0" fontId="5" fillId="0" borderId="0" xfId="0" applyFont="1" applyFill="1" applyBorder="1" applyAlignment="1">
      <alignment vertical="center"/>
    </xf>
    <xf numFmtId="0"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0" fontId="5" fillId="0" borderId="10" xfId="0" applyFont="1" applyFill="1" applyBorder="1" applyAlignment="1">
      <alignment vertical="center"/>
    </xf>
    <xf numFmtId="0" fontId="11" fillId="0" borderId="0" xfId="0" applyFont="1" applyFill="1" applyAlignment="1">
      <alignment horizontal="center" vertical="center" wrapText="1"/>
    </xf>
    <xf numFmtId="0" fontId="13" fillId="0" borderId="0" xfId="0" applyFont="1" applyFill="1" applyAlignment="1">
      <alignment vertical="center"/>
    </xf>
    <xf numFmtId="0" fontId="4" fillId="0" borderId="0" xfId="0" applyFont="1" applyFill="1" applyAlignment="1">
      <alignment vertical="center"/>
    </xf>
    <xf numFmtId="0" fontId="13" fillId="0" borderId="11" xfId="0" applyFont="1" applyFill="1" applyBorder="1" applyAlignment="1">
      <alignment horizontal="center" vertical="center"/>
    </xf>
    <xf numFmtId="0" fontId="12" fillId="0" borderId="0" xfId="0" applyFont="1" applyFill="1" applyAlignment="1">
      <alignment horizontal="center" vertical="top" wrapText="1"/>
    </xf>
    <xf numFmtId="0" fontId="19" fillId="0" borderId="0" xfId="0" applyFont="1" applyFill="1" applyAlignment="1">
      <alignment/>
    </xf>
    <xf numFmtId="0" fontId="5" fillId="0" borderId="0" xfId="0" applyFont="1" applyFill="1" applyBorder="1" applyAlignment="1">
      <alignment horizontal="left" vertical="center" wrapText="1"/>
    </xf>
    <xf numFmtId="0" fontId="19" fillId="0" borderId="0" xfId="0" applyFont="1" applyFill="1" applyAlignment="1">
      <alignment horizontal="center"/>
    </xf>
    <xf numFmtId="0" fontId="0" fillId="0" borderId="10" xfId="0" applyFill="1" applyBorder="1" applyAlignment="1">
      <alignment horizontal="center" vertical="center"/>
    </xf>
    <xf numFmtId="0" fontId="2" fillId="0" borderId="12" xfId="0" applyNumberFormat="1" applyFont="1" applyFill="1" applyBorder="1" applyAlignment="1" quotePrefix="1">
      <alignment horizontal="center" vertical="top"/>
    </xf>
    <xf numFmtId="49" fontId="7" fillId="0" borderId="12" xfId="0" applyNumberFormat="1"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2" xfId="0" applyFont="1" applyFill="1" applyBorder="1" applyAlignment="1">
      <alignment horizontal="center" vertical="top" wrapText="1"/>
    </xf>
    <xf numFmtId="176" fontId="10" fillId="0" borderId="12" xfId="0" applyNumberFormat="1" applyFont="1" applyFill="1" applyBorder="1" applyAlignment="1">
      <alignment horizontal="center" vertical="top"/>
    </xf>
    <xf numFmtId="2" fontId="3" fillId="0" borderId="12" xfId="0" applyNumberFormat="1" applyFont="1" applyFill="1" applyBorder="1" applyAlignment="1">
      <alignment horizontal="center" vertical="top"/>
    </xf>
    <xf numFmtId="177" fontId="3" fillId="0" borderId="12" xfId="0" applyNumberFormat="1" applyFont="1" applyFill="1" applyBorder="1" applyAlignment="1">
      <alignment horizontal="center" vertical="top"/>
    </xf>
    <xf numFmtId="0" fontId="2" fillId="0" borderId="12" xfId="0" applyNumberFormat="1" applyFont="1" applyFill="1" applyBorder="1" applyAlignment="1">
      <alignment horizontal="center" vertical="center"/>
    </xf>
    <xf numFmtId="0" fontId="21" fillId="0" borderId="12" xfId="0" applyNumberFormat="1" applyFont="1" applyFill="1" applyBorder="1" applyAlignment="1" quotePrefix="1">
      <alignment horizontal="center" vertical="top"/>
    </xf>
    <xf numFmtId="49" fontId="21" fillId="0" borderId="12" xfId="0" applyNumberFormat="1"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176" fontId="24" fillId="0" borderId="12" xfId="0" applyNumberFormat="1" applyFont="1" applyFill="1" applyBorder="1" applyAlignment="1">
      <alignment horizontal="center" vertical="top"/>
    </xf>
    <xf numFmtId="0" fontId="23" fillId="0" borderId="0" xfId="0" applyFont="1" applyFill="1" applyAlignment="1">
      <alignment/>
    </xf>
    <xf numFmtId="0" fontId="13" fillId="0" borderId="0" xfId="0" applyFont="1" applyFill="1" applyAlignment="1">
      <alignment horizontal="center"/>
    </xf>
    <xf numFmtId="0" fontId="13" fillId="0" borderId="0" xfId="0" applyFont="1" applyFill="1" applyAlignment="1">
      <alignment horizontal="center" vertical="center"/>
    </xf>
    <xf numFmtId="0" fontId="5"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3" fillId="0" borderId="12" xfId="0" applyFont="1" applyFill="1" applyBorder="1" applyAlignment="1">
      <alignment horizontal="center" vertical="top"/>
    </xf>
    <xf numFmtId="0" fontId="16" fillId="0" borderId="0" xfId="0" applyFont="1" applyFill="1" applyAlignment="1">
      <alignment horizontal="center"/>
    </xf>
    <xf numFmtId="0" fontId="16" fillId="0" borderId="0" xfId="0" applyFont="1" applyFill="1" applyAlignment="1">
      <alignment horizontal="center" vertical="center"/>
    </xf>
    <xf numFmtId="0" fontId="17"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22" fillId="0" borderId="12" xfId="0" applyFont="1" applyFill="1" applyBorder="1" applyAlignment="1">
      <alignment horizontal="center" vertical="top" wrapText="1"/>
    </xf>
    <xf numFmtId="0" fontId="22" fillId="0" borderId="12" xfId="0" applyFont="1" applyFill="1" applyBorder="1" applyAlignment="1">
      <alignment horizontal="center" vertical="top"/>
    </xf>
    <xf numFmtId="0"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top"/>
    </xf>
    <xf numFmtId="49" fontId="4" fillId="0" borderId="12" xfId="0" applyNumberFormat="1" applyFont="1" applyFill="1" applyBorder="1" applyAlignment="1">
      <alignment horizontal="center" wrapText="1"/>
    </xf>
    <xf numFmtId="0" fontId="4" fillId="0" borderId="12" xfId="0" applyFont="1" applyFill="1" applyBorder="1" applyAlignment="1">
      <alignment horizontal="center" wrapText="1"/>
    </xf>
    <xf numFmtId="10" fontId="4" fillId="0" borderId="12" xfId="0" applyNumberFormat="1"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1" fillId="0" borderId="12" xfId="0" applyFont="1" applyFill="1" applyBorder="1" applyAlignment="1">
      <alignment horizontal="left" vertical="center" wrapText="1"/>
    </xf>
    <xf numFmtId="0" fontId="0" fillId="0" borderId="12" xfId="0" applyFill="1" applyBorder="1" applyAlignment="1">
      <alignment horizontal="left" vertical="center"/>
    </xf>
    <xf numFmtId="0" fontId="20"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49" fontId="7" fillId="0" borderId="12" xfId="0" applyNumberFormat="1" applyFont="1" applyFill="1" applyBorder="1" applyAlignment="1">
      <alignment horizontal="center" vertical="top" wrapText="1"/>
    </xf>
    <xf numFmtId="0" fontId="4" fillId="0" borderId="0" xfId="0" applyFont="1" applyFill="1" applyAlignment="1">
      <alignment horizontal="center"/>
    </xf>
    <xf numFmtId="0" fontId="0" fillId="0" borderId="12" xfId="0" applyFill="1" applyBorder="1" applyAlignment="1">
      <alignment horizontal="left" vertical="center" wrapText="1"/>
    </xf>
    <xf numFmtId="0" fontId="0" fillId="0" borderId="12" xfId="0" applyFill="1" applyBorder="1" applyAlignment="1">
      <alignment horizontal="center" vertical="center"/>
    </xf>
    <xf numFmtId="49" fontId="2" fillId="0" borderId="12" xfId="0" applyNumberFormat="1" applyFont="1" applyFill="1" applyBorder="1" applyAlignment="1">
      <alignment horizontal="left" vertical="top"/>
    </xf>
    <xf numFmtId="0" fontId="2" fillId="0" borderId="12" xfId="0" applyNumberFormat="1" applyFont="1" applyFill="1" applyBorder="1" applyAlignment="1">
      <alignment horizontal="center" vertical="top"/>
    </xf>
    <xf numFmtId="0" fontId="20" fillId="0" borderId="12" xfId="0" applyFont="1" applyFill="1" applyBorder="1" applyAlignment="1">
      <alignment horizontal="left" vertical="center" wrapText="1"/>
    </xf>
    <xf numFmtId="0" fontId="20" fillId="0" borderId="12" xfId="0" applyFont="1" applyFill="1" applyBorder="1" applyAlignment="1">
      <alignment horizontal="left" vertical="center"/>
    </xf>
    <xf numFmtId="16" fontId="1" fillId="0" borderId="12" xfId="0" applyNumberFormat="1" applyFont="1" applyFill="1" applyBorder="1" applyAlignment="1">
      <alignment horizontal="center" vertical="center" wrapText="1"/>
    </xf>
    <xf numFmtId="180" fontId="3" fillId="0" borderId="12" xfId="0" applyNumberFormat="1" applyFont="1" applyFill="1" applyBorder="1" applyAlignment="1">
      <alignment horizontal="center" vertical="top"/>
    </xf>
    <xf numFmtId="0" fontId="2" fillId="0" borderId="12" xfId="0" applyFont="1" applyFill="1" applyBorder="1" applyAlignment="1">
      <alignment horizontal="center" vertical="center" wrapText="1"/>
    </xf>
    <xf numFmtId="0" fontId="12" fillId="0" borderId="12" xfId="0" applyNumberFormat="1" applyFont="1" applyFill="1" applyBorder="1" applyAlignment="1">
      <alignment horizontal="center" vertical="top"/>
    </xf>
    <xf numFmtId="49" fontId="12" fillId="0" borderId="12" xfId="0" applyNumberFormat="1" applyFont="1" applyFill="1" applyBorder="1" applyAlignment="1">
      <alignment horizontal="left" vertical="top"/>
    </xf>
    <xf numFmtId="0" fontId="12" fillId="0" borderId="12" xfId="0" applyFont="1" applyFill="1" applyBorder="1" applyAlignment="1">
      <alignment horizontal="left" vertical="top" wrapText="1"/>
    </xf>
    <xf numFmtId="0" fontId="12" fillId="0" borderId="12" xfId="0" applyFont="1" applyFill="1" applyBorder="1" applyAlignment="1">
      <alignment horizontal="center" vertical="top" wrapText="1"/>
    </xf>
    <xf numFmtId="0" fontId="12" fillId="0" borderId="12" xfId="0" applyFont="1" applyFill="1" applyBorder="1" applyAlignment="1">
      <alignment horizontal="center" vertical="top"/>
    </xf>
    <xf numFmtId="0" fontId="26" fillId="0" borderId="12" xfId="0" applyFont="1" applyFill="1" applyBorder="1" applyAlignment="1">
      <alignment horizontal="center" vertical="top"/>
    </xf>
    <xf numFmtId="0" fontId="12" fillId="0" borderId="0" xfId="0" applyFont="1" applyFill="1" applyAlignment="1">
      <alignment/>
    </xf>
    <xf numFmtId="0" fontId="7" fillId="0" borderId="12" xfId="0" applyNumberFormat="1" applyFont="1" applyFill="1" applyBorder="1" applyAlignment="1">
      <alignment horizontal="center" vertical="top"/>
    </xf>
    <xf numFmtId="49" fontId="7" fillId="0" borderId="12" xfId="0" applyNumberFormat="1" applyFont="1" applyFill="1" applyBorder="1" applyAlignment="1">
      <alignment horizontal="left" vertical="top"/>
    </xf>
    <xf numFmtId="0" fontId="5" fillId="0" borderId="12" xfId="0" applyFont="1" applyFill="1" applyBorder="1" applyAlignment="1">
      <alignment horizontal="left" vertical="top" wrapText="1"/>
    </xf>
    <xf numFmtId="0" fontId="7" fillId="0" borderId="12" xfId="0" applyFont="1" applyFill="1" applyBorder="1" applyAlignment="1">
      <alignment horizontal="center" vertical="top" wrapText="1"/>
    </xf>
    <xf numFmtId="0" fontId="6" fillId="0" borderId="12" xfId="0" applyFont="1" applyFill="1" applyBorder="1" applyAlignment="1">
      <alignment horizontal="center" vertical="top"/>
    </xf>
    <xf numFmtId="4" fontId="11" fillId="0" borderId="12" xfId="0" applyNumberFormat="1" applyFont="1" applyFill="1" applyBorder="1" applyAlignment="1">
      <alignment horizontal="center" vertical="top"/>
    </xf>
    <xf numFmtId="0" fontId="1" fillId="0" borderId="0" xfId="0" applyFont="1" applyFill="1" applyAlignment="1">
      <alignment/>
    </xf>
    <xf numFmtId="0" fontId="4" fillId="0" borderId="12" xfId="0" applyFont="1" applyFill="1" applyBorder="1" applyAlignment="1">
      <alignment horizontal="center"/>
    </xf>
    <xf numFmtId="0" fontId="9" fillId="0" borderId="12" xfId="0" applyFont="1" applyFill="1" applyBorder="1" applyAlignment="1">
      <alignment horizontal="left" vertical="top" wrapText="1"/>
    </xf>
    <xf numFmtId="0" fontId="2" fillId="0" borderId="0" xfId="0" applyNumberFormat="1" applyFont="1" applyFill="1" applyAlignment="1">
      <alignment horizontal="center" vertical="top"/>
    </xf>
    <xf numFmtId="49" fontId="2" fillId="0" borderId="0" xfId="0" applyNumberFormat="1" applyFont="1" applyFill="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33" borderId="12"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12" xfId="0" applyNumberFormat="1" applyFont="1" applyFill="1" applyBorder="1" applyAlignment="1">
      <alignment horizontal="center" vertical="top" wrapText="1"/>
    </xf>
    <xf numFmtId="0" fontId="0" fillId="0" borderId="12" xfId="0" applyFill="1" applyBorder="1" applyAlignment="1">
      <alignment horizontal="left" vertical="top" wrapText="1"/>
    </xf>
    <xf numFmtId="0" fontId="27" fillId="0" borderId="12" xfId="0" applyFont="1" applyFill="1" applyBorder="1" applyAlignment="1">
      <alignment horizontal="left" vertical="center"/>
    </xf>
    <xf numFmtId="0" fontId="27" fillId="0" borderId="12" xfId="0" applyFont="1" applyFill="1" applyBorder="1" applyAlignment="1">
      <alignment horizontal="left" vertical="center" wrapText="1"/>
    </xf>
    <xf numFmtId="3" fontId="12" fillId="0" borderId="12" xfId="0" applyNumberFormat="1" applyFont="1" applyFill="1" applyBorder="1" applyAlignment="1">
      <alignment horizontal="center" vertical="top"/>
    </xf>
    <xf numFmtId="0" fontId="13" fillId="34" borderId="11"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0" fontId="2" fillId="0" borderId="12" xfId="0" applyFont="1" applyFill="1" applyBorder="1" applyAlignment="1">
      <alignment horizontal="center" vertical="top"/>
    </xf>
    <xf numFmtId="0" fontId="3" fillId="35" borderId="12" xfId="0" applyFont="1" applyFill="1" applyBorder="1" applyAlignment="1">
      <alignment horizontal="center" vertical="top"/>
    </xf>
    <xf numFmtId="2" fontId="0" fillId="0" borderId="12" xfId="0" applyNumberFormat="1" applyFill="1" applyBorder="1" applyAlignment="1">
      <alignment horizontal="center" vertical="center"/>
    </xf>
    <xf numFmtId="176" fontId="10" fillId="35" borderId="12" xfId="0" applyNumberFormat="1" applyFont="1" applyFill="1" applyBorder="1" applyAlignment="1">
      <alignment horizontal="center" vertical="top"/>
    </xf>
    <xf numFmtId="0" fontId="1" fillId="35" borderId="12" xfId="0" applyFont="1" applyFill="1" applyBorder="1" applyAlignment="1">
      <alignment horizontal="center" vertical="center" wrapText="1"/>
    </xf>
    <xf numFmtId="176" fontId="10" fillId="35" borderId="12" xfId="0" applyNumberFormat="1" applyFont="1" applyFill="1" applyBorder="1" applyAlignment="1">
      <alignment horizontal="center" vertical="center"/>
    </xf>
    <xf numFmtId="182" fontId="10" fillId="35" borderId="12" xfId="0" applyNumberFormat="1" applyFont="1" applyFill="1" applyBorder="1" applyAlignment="1">
      <alignment horizontal="center" vertical="top"/>
    </xf>
    <xf numFmtId="4" fontId="12" fillId="35" borderId="12" xfId="0" applyNumberFormat="1" applyFont="1" applyFill="1" applyBorder="1" applyAlignment="1">
      <alignment horizontal="center" vertical="top"/>
    </xf>
    <xf numFmtId="4" fontId="11" fillId="35" borderId="12" xfId="0" applyNumberFormat="1" applyFont="1" applyFill="1" applyBorder="1" applyAlignment="1">
      <alignment horizontal="center" vertical="top"/>
    </xf>
    <xf numFmtId="0" fontId="4" fillId="35" borderId="12" xfId="0" applyFont="1" applyFill="1" applyBorder="1" applyAlignment="1">
      <alignment horizontal="center" vertical="top"/>
    </xf>
    <xf numFmtId="176" fontId="15" fillId="35" borderId="12" xfId="0" applyNumberFormat="1" applyFont="1" applyFill="1" applyBorder="1" applyAlignment="1">
      <alignment horizontal="center" vertical="top"/>
    </xf>
    <xf numFmtId="0" fontId="4" fillId="35" borderId="0" xfId="0" applyFont="1" applyFill="1" applyAlignment="1">
      <alignment horizontal="center" vertical="top"/>
    </xf>
    <xf numFmtId="2" fontId="3" fillId="35" borderId="12" xfId="0" applyNumberFormat="1" applyFont="1" applyFill="1" applyBorder="1" applyAlignment="1">
      <alignment horizontal="center" vertical="top"/>
    </xf>
    <xf numFmtId="0" fontId="4" fillId="35" borderId="0" xfId="0" applyFont="1" applyFill="1" applyAlignment="1">
      <alignment/>
    </xf>
    <xf numFmtId="0" fontId="2" fillId="0" borderId="0" xfId="0" applyNumberFormat="1" applyFont="1" applyFill="1" applyAlignment="1">
      <alignment horizontal="left" vertical="top" wrapText="1"/>
    </xf>
    <xf numFmtId="0" fontId="0" fillId="0" borderId="0" xfId="0" applyAlignment="1">
      <alignment horizontal="left" wrapText="1"/>
    </xf>
    <xf numFmtId="0" fontId="12" fillId="0" borderId="0" xfId="0" applyFont="1" applyFill="1" applyAlignment="1">
      <alignment horizontal="center" vertical="top" wrapText="1"/>
    </xf>
    <xf numFmtId="0" fontId="19" fillId="0" borderId="0" xfId="0" applyFont="1" applyFill="1" applyAlignment="1">
      <alignment/>
    </xf>
    <xf numFmtId="0" fontId="19" fillId="0" borderId="0" xfId="0" applyFont="1" applyFill="1" applyAlignment="1">
      <alignment horizontal="center" wrapText="1"/>
    </xf>
    <xf numFmtId="0" fontId="0" fillId="0" borderId="0" xfId="0" applyFill="1" applyAlignment="1">
      <alignment/>
    </xf>
    <xf numFmtId="0" fontId="5"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13" xfId="0" applyFill="1" applyBorder="1" applyAlignment="1">
      <alignment horizontal="center" vertical="center"/>
    </xf>
    <xf numFmtId="0" fontId="18" fillId="0" borderId="10" xfId="0" applyFont="1" applyFill="1" applyBorder="1" applyAlignment="1">
      <alignment horizontal="center" vertical="center"/>
    </xf>
    <xf numFmtId="0" fontId="0" fillId="0" borderId="10" xfId="0" applyFill="1" applyBorder="1" applyAlignment="1">
      <alignment horizontal="center" vertical="center"/>
    </xf>
    <xf numFmtId="0"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33" borderId="14" xfId="0" applyNumberFormat="1" applyFont="1" applyFill="1" applyBorder="1" applyAlignment="1">
      <alignment horizontal="center" vertical="center" wrapText="1"/>
    </xf>
    <xf numFmtId="0" fontId="0" fillId="33" borderId="15" xfId="0" applyFill="1" applyBorder="1" applyAlignment="1">
      <alignment horizontal="center" vertical="center" wrapText="1"/>
    </xf>
    <xf numFmtId="0" fontId="0" fillId="0" borderId="12" xfId="0" applyFill="1" applyBorder="1" applyAlignment="1">
      <alignment horizontal="center"/>
    </xf>
    <xf numFmtId="0" fontId="1" fillId="0" borderId="12" xfId="0" applyFont="1" applyFill="1" applyBorder="1" applyAlignment="1">
      <alignment horizontal="left" vertical="center" wrapText="1"/>
    </xf>
    <xf numFmtId="0" fontId="0" fillId="0" borderId="12" xfId="0" applyFill="1" applyBorder="1" applyAlignment="1">
      <alignment horizontal="left" vertical="center"/>
    </xf>
    <xf numFmtId="0" fontId="1" fillId="0" borderId="14" xfId="0" applyFont="1" applyFill="1" applyBorder="1" applyAlignment="1">
      <alignment horizontal="left" vertical="center" wrapText="1"/>
    </xf>
    <xf numFmtId="0" fontId="0" fillId="0" borderId="16" xfId="0" applyFill="1" applyBorder="1" applyAlignment="1">
      <alignment horizontal="left" vertical="center"/>
    </xf>
    <xf numFmtId="0" fontId="0" fillId="0" borderId="15" xfId="0" applyFill="1" applyBorder="1" applyAlignment="1">
      <alignment horizontal="left" vertical="center"/>
    </xf>
    <xf numFmtId="0" fontId="23" fillId="0" borderId="12" xfId="0" applyFont="1" applyFill="1" applyBorder="1" applyAlignment="1">
      <alignment horizontal="left" vertical="center" wrapText="1"/>
    </xf>
    <xf numFmtId="0" fontId="18" fillId="0" borderId="12" xfId="0" applyFont="1" applyFill="1" applyBorder="1" applyAlignment="1">
      <alignment horizontal="left" vertical="center"/>
    </xf>
    <xf numFmtId="0" fontId="23" fillId="35" borderId="0" xfId="0" applyFont="1" applyFill="1" applyAlignment="1">
      <alignment/>
    </xf>
    <xf numFmtId="0" fontId="4" fillId="35"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3"/>
  <sheetViews>
    <sheetView showGridLines="0" tabSelected="1" zoomScale="90" zoomScaleNormal="90" zoomScaleSheetLayoutView="75" zoomScalePageLayoutView="0" workbookViewId="0" topLeftCell="A11">
      <pane ySplit="1215" topLeftCell="A247" activePane="bottomLeft" state="split"/>
      <selection pane="topLeft" activeCell="A31" sqref="A31"/>
      <selection pane="bottomLeft" activeCell="H11" sqref="H11"/>
    </sheetView>
  </sheetViews>
  <sheetFormatPr defaultColWidth="9.00390625" defaultRowHeight="12.75"/>
  <cols>
    <col min="1" max="1" width="6.625" style="83" customWidth="1"/>
    <col min="2" max="2" width="12.75390625" style="84" hidden="1" customWidth="1"/>
    <col min="3" max="3" width="81.125" style="85" customWidth="1"/>
    <col min="4" max="4" width="12.75390625" style="86" customWidth="1"/>
    <col min="5" max="5" width="10.625" style="87" customWidth="1"/>
    <col min="6" max="6" width="10.375" style="87" customWidth="1"/>
    <col min="7" max="7" width="13.625" style="87" customWidth="1"/>
    <col min="8" max="8" width="12.75390625" style="87" customWidth="1"/>
    <col min="9" max="9" width="9.25390625" style="87" customWidth="1"/>
    <col min="10" max="10" width="13.25390625" style="87" customWidth="1"/>
    <col min="11" max="11" width="14.25390625" style="87" customWidth="1"/>
    <col min="12" max="12" width="12.25390625" style="87" customWidth="1"/>
    <col min="13" max="13" width="13.25390625" style="57" customWidth="1"/>
    <col min="14" max="14" width="23.00390625" style="88" customWidth="1"/>
    <col min="15" max="16384" width="9.125" style="1" customWidth="1"/>
  </cols>
  <sheetData>
    <row r="1" spans="1:14" ht="247.5" customHeight="1">
      <c r="A1" s="113" t="s">
        <v>344</v>
      </c>
      <c r="B1" s="114"/>
      <c r="C1" s="114"/>
      <c r="D1" s="114"/>
      <c r="E1" s="114"/>
      <c r="F1" s="114"/>
      <c r="G1" s="114"/>
      <c r="H1" s="114"/>
      <c r="I1" s="114"/>
      <c r="J1" s="114"/>
      <c r="K1" s="114"/>
      <c r="L1" s="114"/>
      <c r="M1" s="114"/>
      <c r="N1" s="114"/>
    </row>
    <row r="3" spans="1:14" ht="37.5" customHeight="1">
      <c r="A3" s="115" t="s">
        <v>5</v>
      </c>
      <c r="B3" s="116"/>
      <c r="C3" s="116"/>
      <c r="D3" s="116"/>
      <c r="E3" s="116"/>
      <c r="F3" s="116"/>
      <c r="G3" s="116"/>
      <c r="H3" s="116"/>
      <c r="I3" s="116"/>
      <c r="J3" s="116"/>
      <c r="K3" s="116"/>
      <c r="L3" s="116"/>
      <c r="M3" s="116"/>
      <c r="N3" s="116"/>
    </row>
    <row r="4" spans="1:14" ht="39" customHeight="1">
      <c r="A4" s="117" t="s">
        <v>308</v>
      </c>
      <c r="B4" s="118"/>
      <c r="C4" s="118"/>
      <c r="D4" s="118"/>
      <c r="E4" s="118"/>
      <c r="F4" s="118"/>
      <c r="G4" s="118"/>
      <c r="H4" s="118"/>
      <c r="I4" s="118"/>
      <c r="J4" s="118"/>
      <c r="K4" s="118"/>
      <c r="L4" s="118"/>
      <c r="M4" s="118"/>
      <c r="N4" s="118"/>
    </row>
    <row r="5" spans="1:14" ht="12.75" customHeight="1" thickBot="1">
      <c r="A5" s="12"/>
      <c r="B5" s="13"/>
      <c r="C5" s="13"/>
      <c r="D5" s="15"/>
      <c r="E5" s="15"/>
      <c r="F5" s="15"/>
      <c r="G5" s="15"/>
      <c r="H5" s="15"/>
      <c r="I5" s="15"/>
      <c r="J5" s="15"/>
      <c r="K5" s="15"/>
      <c r="L5" s="15"/>
      <c r="M5" s="15"/>
      <c r="N5" s="15"/>
    </row>
    <row r="6" spans="1:14" ht="36" customHeight="1" thickBot="1" thickTop="1">
      <c r="A6" s="2"/>
      <c r="B6" s="3"/>
      <c r="C6" s="14" t="s">
        <v>166</v>
      </c>
      <c r="D6" s="11"/>
      <c r="E6" s="31"/>
      <c r="F6" s="36"/>
      <c r="G6" s="31"/>
      <c r="H6" s="31"/>
      <c r="I6" s="31"/>
      <c r="J6" s="31"/>
      <c r="K6" s="31"/>
      <c r="L6" s="31"/>
      <c r="M6" s="31"/>
      <c r="N6" s="31"/>
    </row>
    <row r="7" spans="1:14" s="10" customFormat="1" ht="30.75" customHeight="1" thickBot="1" thickTop="1">
      <c r="A7" s="8"/>
      <c r="B7" s="9"/>
      <c r="C7" s="14" t="s">
        <v>32</v>
      </c>
      <c r="D7" s="11"/>
      <c r="E7" s="32"/>
      <c r="F7" s="37"/>
      <c r="G7" s="119" t="s">
        <v>168</v>
      </c>
      <c r="H7" s="120"/>
      <c r="I7" s="120"/>
      <c r="J7" s="121"/>
      <c r="K7" s="96" t="e">
        <f>ROUND(N260/D6/12,2)</f>
        <v>#DIV/0!</v>
      </c>
      <c r="L7" s="32"/>
      <c r="M7" s="32"/>
      <c r="N7" s="32"/>
    </row>
    <row r="8" spans="1:14" s="4" customFormat="1" ht="17.25" customHeight="1" thickTop="1">
      <c r="A8" s="5"/>
      <c r="B8" s="6"/>
      <c r="C8" s="7"/>
      <c r="D8" s="16"/>
      <c r="E8" s="38"/>
      <c r="F8" s="39"/>
      <c r="G8" s="33"/>
      <c r="H8" s="33"/>
      <c r="I8" s="34"/>
      <c r="J8" s="34"/>
      <c r="K8" s="33"/>
      <c r="L8" s="33"/>
      <c r="M8" s="122" t="s">
        <v>14</v>
      </c>
      <c r="N8" s="123"/>
    </row>
    <row r="9" spans="1:14" ht="12.75" customHeight="1" hidden="1">
      <c r="A9" s="124" t="s">
        <v>0</v>
      </c>
      <c r="B9" s="125" t="s">
        <v>1</v>
      </c>
      <c r="C9" s="127" t="s">
        <v>8</v>
      </c>
      <c r="D9" s="127" t="s">
        <v>9</v>
      </c>
      <c r="E9" s="42"/>
      <c r="F9" s="124"/>
      <c r="G9" s="124"/>
      <c r="H9" s="124"/>
      <c r="I9" s="124"/>
      <c r="J9" s="124"/>
      <c r="K9" s="127" t="s">
        <v>330</v>
      </c>
      <c r="L9" s="127" t="s">
        <v>331</v>
      </c>
      <c r="M9" s="127" t="s">
        <v>332</v>
      </c>
      <c r="N9" s="45"/>
    </row>
    <row r="10" spans="1:14" ht="43.5" customHeight="1">
      <c r="A10" s="124"/>
      <c r="B10" s="125"/>
      <c r="C10" s="127"/>
      <c r="D10" s="127"/>
      <c r="E10" s="129" t="s">
        <v>15</v>
      </c>
      <c r="F10" s="130"/>
      <c r="G10" s="127" t="s">
        <v>335</v>
      </c>
      <c r="H10" s="127"/>
      <c r="I10" s="127"/>
      <c r="J10" s="131"/>
      <c r="K10" s="127"/>
      <c r="L10" s="127"/>
      <c r="M10" s="127"/>
      <c r="N10" s="127" t="s">
        <v>7</v>
      </c>
    </row>
    <row r="11" spans="1:14" ht="54" customHeight="1">
      <c r="A11" s="124"/>
      <c r="B11" s="126"/>
      <c r="C11" s="128"/>
      <c r="D11" s="127"/>
      <c r="E11" s="89" t="s">
        <v>13</v>
      </c>
      <c r="F11" s="89" t="s">
        <v>12</v>
      </c>
      <c r="G11" s="44" t="s">
        <v>333</v>
      </c>
      <c r="H11" s="44" t="s">
        <v>10</v>
      </c>
      <c r="I11" s="44" t="s">
        <v>334</v>
      </c>
      <c r="J11" s="44" t="s">
        <v>11</v>
      </c>
      <c r="K11" s="127"/>
      <c r="L11" s="127"/>
      <c r="M11" s="127"/>
      <c r="N11" s="127"/>
    </row>
    <row r="12" spans="1:14" ht="42" customHeight="1" hidden="1">
      <c r="A12" s="42"/>
      <c r="B12" s="46"/>
      <c r="C12" s="47"/>
      <c r="D12" s="44"/>
      <c r="E12" s="89"/>
      <c r="F12" s="89"/>
      <c r="G12" s="44"/>
      <c r="H12" s="44"/>
      <c r="I12" s="44"/>
      <c r="J12" s="44"/>
      <c r="K12" s="48">
        <v>0.735</v>
      </c>
      <c r="L12" s="48">
        <v>0.015</v>
      </c>
      <c r="M12" s="49">
        <v>0.2</v>
      </c>
      <c r="N12" s="44"/>
    </row>
    <row r="13" spans="1:14" ht="12.75">
      <c r="A13" s="50">
        <v>1</v>
      </c>
      <c r="B13" s="43">
        <v>2</v>
      </c>
      <c r="C13" s="51">
        <v>2</v>
      </c>
      <c r="D13" s="44">
        <v>3</v>
      </c>
      <c r="E13" s="90">
        <v>4</v>
      </c>
      <c r="F13" s="90">
        <v>5</v>
      </c>
      <c r="G13" s="51">
        <v>6</v>
      </c>
      <c r="H13" s="44">
        <v>7</v>
      </c>
      <c r="I13" s="51">
        <v>8</v>
      </c>
      <c r="J13" s="44">
        <v>9</v>
      </c>
      <c r="K13" s="51">
        <v>10</v>
      </c>
      <c r="L13" s="44">
        <v>11</v>
      </c>
      <c r="M13" s="51">
        <v>12</v>
      </c>
      <c r="N13" s="51">
        <v>13</v>
      </c>
    </row>
    <row r="14" spans="1:14" ht="30" customHeight="1">
      <c r="A14" s="132" t="s">
        <v>183</v>
      </c>
      <c r="B14" s="133"/>
      <c r="C14" s="133"/>
      <c r="D14" s="133"/>
      <c r="E14" s="133"/>
      <c r="F14" s="133"/>
      <c r="G14" s="133"/>
      <c r="H14" s="133"/>
      <c r="I14" s="133"/>
      <c r="J14" s="133"/>
      <c r="K14" s="133"/>
      <c r="L14" s="133"/>
      <c r="M14" s="133"/>
      <c r="N14" s="54"/>
    </row>
    <row r="15" spans="1:14" ht="16.5" customHeight="1">
      <c r="A15" s="132" t="s">
        <v>17</v>
      </c>
      <c r="B15" s="133"/>
      <c r="C15" s="133"/>
      <c r="D15" s="133"/>
      <c r="E15" s="133"/>
      <c r="F15" s="133"/>
      <c r="G15" s="133"/>
      <c r="H15" s="133"/>
      <c r="I15" s="133"/>
      <c r="J15" s="133"/>
      <c r="K15" s="133"/>
      <c r="L15" s="133"/>
      <c r="M15" s="133"/>
      <c r="N15" s="55"/>
    </row>
    <row r="16" spans="1:16" ht="27.75" customHeight="1">
      <c r="A16" s="17" t="s">
        <v>2</v>
      </c>
      <c r="B16" s="18" t="s">
        <v>3</v>
      </c>
      <c r="C16" s="19" t="s">
        <v>16</v>
      </c>
      <c r="D16" s="20" t="s">
        <v>6</v>
      </c>
      <c r="E16" s="91">
        <f>$D$6</f>
        <v>0</v>
      </c>
      <c r="F16" s="91">
        <v>1</v>
      </c>
      <c r="G16" s="35">
        <f>(102.3*E16*F16)/1000</f>
        <v>0</v>
      </c>
      <c r="H16" s="35">
        <f>(0*E16*F16)/1000</f>
        <v>0</v>
      </c>
      <c r="I16" s="35">
        <f>(E16*F16*0)/1000</f>
        <v>0</v>
      </c>
      <c r="J16" s="35">
        <f>(0*E16*F16)/1000</f>
        <v>0</v>
      </c>
      <c r="K16" s="22">
        <f>((G16+I16)*$K$12)</f>
        <v>0</v>
      </c>
      <c r="L16" s="23">
        <f>(SUM(G16:K16)*$L$12)</f>
        <v>0</v>
      </c>
      <c r="M16" s="22">
        <f>(SUM(G16:L16)*$M$12)</f>
        <v>0</v>
      </c>
      <c r="N16" s="102">
        <f>ROUND(G16+H16+J16+K16+L16+M16,2)</f>
        <v>0</v>
      </c>
      <c r="O16" s="112"/>
      <c r="P16" s="112"/>
    </row>
    <row r="17" spans="1:16" s="30" customFormat="1" ht="18" customHeight="1">
      <c r="A17" s="25"/>
      <c r="B17" s="26"/>
      <c r="C17" s="27" t="s">
        <v>164</v>
      </c>
      <c r="D17" s="28"/>
      <c r="E17" s="40"/>
      <c r="F17" s="41"/>
      <c r="G17" s="29">
        <f aca="true" t="shared" si="0" ref="G17:M17">SUM(G16)</f>
        <v>0</v>
      </c>
      <c r="H17" s="29">
        <f t="shared" si="0"/>
        <v>0</v>
      </c>
      <c r="I17" s="29">
        <f t="shared" si="0"/>
        <v>0</v>
      </c>
      <c r="J17" s="29">
        <f t="shared" si="0"/>
        <v>0</v>
      </c>
      <c r="K17" s="29">
        <f t="shared" si="0"/>
        <v>0</v>
      </c>
      <c r="L17" s="29">
        <f t="shared" si="0"/>
        <v>0</v>
      </c>
      <c r="M17" s="29">
        <f t="shared" si="0"/>
        <v>0</v>
      </c>
      <c r="N17" s="102">
        <f>SUM(N16)</f>
        <v>0</v>
      </c>
      <c r="O17" s="139"/>
      <c r="P17" s="139"/>
    </row>
    <row r="18" spans="1:16" ht="16.5" customHeight="1">
      <c r="A18" s="132" t="s">
        <v>169</v>
      </c>
      <c r="B18" s="133"/>
      <c r="C18" s="133"/>
      <c r="D18" s="133"/>
      <c r="E18" s="133"/>
      <c r="F18" s="133"/>
      <c r="G18" s="133"/>
      <c r="H18" s="133"/>
      <c r="I18" s="133"/>
      <c r="J18" s="133"/>
      <c r="K18" s="133"/>
      <c r="L18" s="133"/>
      <c r="M18" s="133"/>
      <c r="N18" s="103"/>
      <c r="O18" s="112"/>
      <c r="P18" s="112"/>
    </row>
    <row r="19" spans="1:16" ht="17.25" customHeight="1">
      <c r="A19" s="17">
        <v>2</v>
      </c>
      <c r="B19" s="18" t="s">
        <v>3</v>
      </c>
      <c r="C19" s="19" t="s">
        <v>172</v>
      </c>
      <c r="D19" s="20" t="s">
        <v>18</v>
      </c>
      <c r="E19" s="91"/>
      <c r="F19" s="91">
        <v>1</v>
      </c>
      <c r="G19" s="35">
        <f>(1110.69*E19*F19)/10</f>
        <v>0</v>
      </c>
      <c r="H19" s="35">
        <f>(16.5*E19*F19)/10</f>
        <v>0</v>
      </c>
      <c r="I19" s="35">
        <f>(4.64*E19*F19)/10</f>
        <v>0</v>
      </c>
      <c r="J19" s="35">
        <f>(0*E19*F19)/10</f>
        <v>0</v>
      </c>
      <c r="K19" s="22">
        <f aca="true" t="shared" si="1" ref="K19:K24">((G19+I19)*$K$12)</f>
        <v>0</v>
      </c>
      <c r="L19" s="22">
        <f>(SUM(G19+H19+K19+J19)*$L$12)</f>
        <v>0</v>
      </c>
      <c r="M19" s="22">
        <f>(SUM(G19+H19+J19+K19+L19)*$M$12)</f>
        <v>0</v>
      </c>
      <c r="N19" s="102">
        <f aca="true" t="shared" si="2" ref="N19:N24">ROUND(G19+H19+J19+K19+L19+M19,2)</f>
        <v>0</v>
      </c>
      <c r="O19" s="112"/>
      <c r="P19" s="112"/>
    </row>
    <row r="20" spans="1:16" ht="23.25" customHeight="1">
      <c r="A20" s="17">
        <v>3</v>
      </c>
      <c r="B20" s="18" t="s">
        <v>3</v>
      </c>
      <c r="C20" s="19" t="s">
        <v>173</v>
      </c>
      <c r="D20" s="20" t="s">
        <v>18</v>
      </c>
      <c r="E20" s="91"/>
      <c r="F20" s="91">
        <v>1</v>
      </c>
      <c r="G20" s="35">
        <f>(1110.69*E20*F20)/10</f>
        <v>0</v>
      </c>
      <c r="H20" s="35">
        <f>(16.5*E20*F20)/10</f>
        <v>0</v>
      </c>
      <c r="I20" s="35">
        <f>(4.64*E20*F20)/10</f>
        <v>0</v>
      </c>
      <c r="J20" s="35">
        <f>(2550.1*E20*F20)/10</f>
        <v>0</v>
      </c>
      <c r="K20" s="22">
        <f t="shared" si="1"/>
        <v>0</v>
      </c>
      <c r="L20" s="22">
        <f>(SUM(G20+H20+K20+J20)*$L$12)</f>
        <v>0</v>
      </c>
      <c r="M20" s="22">
        <f>(SUM(G20+H20+J20+K20+L20)*$M$12)</f>
        <v>0</v>
      </c>
      <c r="N20" s="102">
        <f t="shared" si="2"/>
        <v>0</v>
      </c>
      <c r="O20" s="112"/>
      <c r="P20" s="112"/>
    </row>
    <row r="21" spans="1:16" ht="16.5" customHeight="1">
      <c r="A21" s="17">
        <v>4</v>
      </c>
      <c r="B21" s="18"/>
      <c r="C21" s="19" t="s">
        <v>250</v>
      </c>
      <c r="D21" s="20" t="s">
        <v>18</v>
      </c>
      <c r="E21" s="91"/>
      <c r="F21" s="91">
        <v>1</v>
      </c>
      <c r="G21" s="35">
        <f>(1110.69*E21*F21)/10</f>
        <v>0</v>
      </c>
      <c r="H21" s="35">
        <f>(16.5*E21*F21)/10</f>
        <v>0</v>
      </c>
      <c r="I21" s="35">
        <f>(4.64*E21*F21)/10</f>
        <v>0</v>
      </c>
      <c r="J21" s="35">
        <f>(119.09*E21*F21)/10</f>
        <v>0</v>
      </c>
      <c r="K21" s="22">
        <f t="shared" si="1"/>
        <v>0</v>
      </c>
      <c r="L21" s="22">
        <f>(SUM(G21+H21+K21+J21)*$L$12)</f>
        <v>0</v>
      </c>
      <c r="M21" s="22">
        <f>(SUM(G21+H21+J21+K21+L21)*$M$12)</f>
        <v>0</v>
      </c>
      <c r="N21" s="102">
        <f t="shared" si="2"/>
        <v>0</v>
      </c>
      <c r="O21" s="112"/>
      <c r="P21" s="112"/>
    </row>
    <row r="22" spans="1:16" s="57" customFormat="1" ht="36.75" customHeight="1">
      <c r="A22" s="17">
        <v>5</v>
      </c>
      <c r="B22" s="56" t="s">
        <v>3</v>
      </c>
      <c r="C22" s="19" t="s">
        <v>304</v>
      </c>
      <c r="D22" s="20" t="s">
        <v>174</v>
      </c>
      <c r="E22" s="91">
        <f>D6</f>
        <v>0</v>
      </c>
      <c r="F22" s="91">
        <v>1</v>
      </c>
      <c r="G22" s="35">
        <f>(96.76*E22*F22)/100</f>
        <v>0</v>
      </c>
      <c r="H22" s="35">
        <f>(0*E22*F22)/100</f>
        <v>0</v>
      </c>
      <c r="I22" s="35">
        <f>(E22*F22*0)/100</f>
        <v>0</v>
      </c>
      <c r="J22" s="35">
        <f>(0.21*E22*F22)/100</f>
        <v>0</v>
      </c>
      <c r="K22" s="22">
        <f>((G22+I22)*$K$12)</f>
        <v>0</v>
      </c>
      <c r="L22" s="22">
        <f>(SUM(G22:K22)*$L$12)</f>
        <v>0</v>
      </c>
      <c r="M22" s="22">
        <f>(SUM(G22:L22)*$M$12)</f>
        <v>0</v>
      </c>
      <c r="N22" s="102">
        <f t="shared" si="2"/>
        <v>0</v>
      </c>
      <c r="O22" s="140"/>
      <c r="P22" s="140"/>
    </row>
    <row r="23" spans="1:16" s="57" customFormat="1" ht="25.5" customHeight="1">
      <c r="A23" s="17">
        <v>6</v>
      </c>
      <c r="B23" s="56"/>
      <c r="C23" s="19" t="s">
        <v>251</v>
      </c>
      <c r="D23" s="20" t="s">
        <v>339</v>
      </c>
      <c r="E23" s="91"/>
      <c r="F23" s="91">
        <v>1</v>
      </c>
      <c r="G23" s="35">
        <f>(3501.52*E23*F23)/100</f>
        <v>0</v>
      </c>
      <c r="H23" s="35">
        <f>(75.07*E23*F23)/100</f>
        <v>0</v>
      </c>
      <c r="I23" s="35">
        <f>(E23*F23*0)/100</f>
        <v>0</v>
      </c>
      <c r="J23" s="35">
        <f>(0*E23*F23)/100</f>
        <v>0</v>
      </c>
      <c r="K23" s="22">
        <f t="shared" si="1"/>
        <v>0</v>
      </c>
      <c r="L23" s="22">
        <f>(SUM(G23:K23)*$L$12)</f>
        <v>0</v>
      </c>
      <c r="M23" s="22">
        <f>(SUM(G23:L23)*$M$12)</f>
        <v>0</v>
      </c>
      <c r="N23" s="102">
        <f t="shared" si="2"/>
        <v>0</v>
      </c>
      <c r="O23" s="140"/>
      <c r="P23" s="140"/>
    </row>
    <row r="24" spans="1:16" s="57" customFormat="1" ht="26.25" customHeight="1">
      <c r="A24" s="17">
        <v>7</v>
      </c>
      <c r="B24" s="56"/>
      <c r="C24" s="19" t="s">
        <v>252</v>
      </c>
      <c r="D24" s="20" t="s">
        <v>339</v>
      </c>
      <c r="E24" s="91"/>
      <c r="F24" s="91">
        <v>1</v>
      </c>
      <c r="G24" s="35">
        <f>(1767.01*E24*F24)/100</f>
        <v>0</v>
      </c>
      <c r="H24" s="35">
        <f>(63.58*E24*F24)/100</f>
        <v>0</v>
      </c>
      <c r="I24" s="35">
        <f>(E24*F24*0)/100</f>
        <v>0</v>
      </c>
      <c r="J24" s="35">
        <f>(0*E24*F24)/100</f>
        <v>0</v>
      </c>
      <c r="K24" s="22">
        <f t="shared" si="1"/>
        <v>0</v>
      </c>
      <c r="L24" s="22">
        <f>(SUM(G24:K24)*$L$12)</f>
        <v>0</v>
      </c>
      <c r="M24" s="22">
        <f>(SUM(G24:L24)*$M$12)</f>
        <v>0</v>
      </c>
      <c r="N24" s="102">
        <f t="shared" si="2"/>
        <v>0</v>
      </c>
      <c r="O24" s="140"/>
      <c r="P24" s="140"/>
    </row>
    <row r="25" spans="1:16" s="30" customFormat="1" ht="18" customHeight="1">
      <c r="A25" s="25"/>
      <c r="B25" s="26"/>
      <c r="C25" s="27" t="s">
        <v>164</v>
      </c>
      <c r="D25" s="28"/>
      <c r="E25" s="40"/>
      <c r="F25" s="41"/>
      <c r="G25" s="29">
        <f aca="true" t="shared" si="3" ref="G25:M25">SUM(G19:G24)</f>
        <v>0</v>
      </c>
      <c r="H25" s="29">
        <f t="shared" si="3"/>
        <v>0</v>
      </c>
      <c r="I25" s="29">
        <f t="shared" si="3"/>
        <v>0</v>
      </c>
      <c r="J25" s="29">
        <f t="shared" si="3"/>
        <v>0</v>
      </c>
      <c r="K25" s="29">
        <f t="shared" si="3"/>
        <v>0</v>
      </c>
      <c r="L25" s="29">
        <f t="shared" si="3"/>
        <v>0</v>
      </c>
      <c r="M25" s="29">
        <f t="shared" si="3"/>
        <v>0</v>
      </c>
      <c r="N25" s="102">
        <f>SUM(N19:N24)</f>
        <v>0</v>
      </c>
      <c r="O25" s="139"/>
      <c r="P25" s="139"/>
    </row>
    <row r="26" spans="1:16" ht="56.25" customHeight="1">
      <c r="A26" s="132" t="s">
        <v>255</v>
      </c>
      <c r="B26" s="133"/>
      <c r="C26" s="133"/>
      <c r="D26" s="133"/>
      <c r="E26" s="133"/>
      <c r="F26" s="133"/>
      <c r="G26" s="133"/>
      <c r="H26" s="133"/>
      <c r="I26" s="133"/>
      <c r="J26" s="133"/>
      <c r="K26" s="133"/>
      <c r="L26" s="133"/>
      <c r="M26" s="133"/>
      <c r="N26" s="103"/>
      <c r="O26" s="112"/>
      <c r="P26" s="112"/>
    </row>
    <row r="27" spans="1:16" ht="26.25" customHeight="1">
      <c r="A27" s="17">
        <v>8</v>
      </c>
      <c r="B27" s="18" t="s">
        <v>3</v>
      </c>
      <c r="C27" s="19" t="s">
        <v>305</v>
      </c>
      <c r="D27" s="20" t="s">
        <v>6</v>
      </c>
      <c r="E27" s="91">
        <f>$D$6</f>
        <v>0</v>
      </c>
      <c r="F27" s="91">
        <v>1</v>
      </c>
      <c r="G27" s="22">
        <f>(816.1*E27*F27)/1000</f>
        <v>0</v>
      </c>
      <c r="H27" s="35">
        <f>(0*E27*F27)/1000</f>
        <v>0</v>
      </c>
      <c r="I27" s="35">
        <f>(E27*F27*0)/1000</f>
        <v>0</v>
      </c>
      <c r="J27" s="35">
        <f>(0*E27*F27)/1000</f>
        <v>0</v>
      </c>
      <c r="K27" s="22">
        <f>((G27+I27)*$K$12)</f>
        <v>0</v>
      </c>
      <c r="L27" s="22">
        <f>(SUM(G27:K27)*$L$12)</f>
        <v>0</v>
      </c>
      <c r="M27" s="22">
        <f>(SUM(G27:L27)*$M$12)</f>
        <v>0</v>
      </c>
      <c r="N27" s="102">
        <f>ROUND(G27+H27+J27+K27+L27+M27,2)</f>
        <v>0</v>
      </c>
      <c r="O27" s="112"/>
      <c r="P27" s="112"/>
    </row>
    <row r="28" spans="1:16" ht="26.25" customHeight="1">
      <c r="A28" s="17">
        <v>9</v>
      </c>
      <c r="B28" s="18"/>
      <c r="C28" s="19" t="s">
        <v>19</v>
      </c>
      <c r="D28" s="20" t="s">
        <v>6</v>
      </c>
      <c r="E28" s="91">
        <f>$D$6</f>
        <v>0</v>
      </c>
      <c r="F28" s="91">
        <v>1</v>
      </c>
      <c r="G28" s="22">
        <f>(2694.2*E28*F28)/1000</f>
        <v>0</v>
      </c>
      <c r="H28" s="35">
        <f>(0*E28*F28)/1000</f>
        <v>0</v>
      </c>
      <c r="I28" s="35">
        <f>(E28*F28*0)/1000</f>
        <v>0</v>
      </c>
      <c r="J28" s="35">
        <f>(0*E28*F28)/1000</f>
        <v>0</v>
      </c>
      <c r="K28" s="22">
        <f>((G28+I28)*$K$12)</f>
        <v>0</v>
      </c>
      <c r="L28" s="22">
        <f>(SUM(G28:K28)*$L$12)</f>
        <v>0</v>
      </c>
      <c r="M28" s="22">
        <f>(SUM(G28:L28)*$M$12)</f>
        <v>0</v>
      </c>
      <c r="N28" s="102">
        <f>ROUND(G28+H28+J28+K28+L28+M28,2)</f>
        <v>0</v>
      </c>
      <c r="O28" s="112"/>
      <c r="P28" s="112"/>
    </row>
    <row r="29" spans="1:16" s="30" customFormat="1" ht="18" customHeight="1">
      <c r="A29" s="25"/>
      <c r="B29" s="26"/>
      <c r="C29" s="27" t="s">
        <v>164</v>
      </c>
      <c r="D29" s="28"/>
      <c r="E29" s="40"/>
      <c r="F29" s="41"/>
      <c r="G29" s="29">
        <f aca="true" t="shared" si="4" ref="G29:M29">SUM(G27:G28)</f>
        <v>0</v>
      </c>
      <c r="H29" s="29">
        <f t="shared" si="4"/>
        <v>0</v>
      </c>
      <c r="I29" s="29">
        <f t="shared" si="4"/>
        <v>0</v>
      </c>
      <c r="J29" s="29">
        <f t="shared" si="4"/>
        <v>0</v>
      </c>
      <c r="K29" s="29">
        <f t="shared" si="4"/>
        <v>0</v>
      </c>
      <c r="L29" s="29">
        <f t="shared" si="4"/>
        <v>0</v>
      </c>
      <c r="M29" s="29">
        <f t="shared" si="4"/>
        <v>0</v>
      </c>
      <c r="N29" s="102">
        <f>SUM(N27:N28)</f>
        <v>0</v>
      </c>
      <c r="O29" s="139"/>
      <c r="P29" s="139"/>
    </row>
    <row r="30" spans="1:16" ht="56.25" customHeight="1">
      <c r="A30" s="132" t="s">
        <v>309</v>
      </c>
      <c r="B30" s="133"/>
      <c r="C30" s="133"/>
      <c r="D30" s="133"/>
      <c r="E30" s="133"/>
      <c r="F30" s="133"/>
      <c r="G30" s="133"/>
      <c r="H30" s="133"/>
      <c r="I30" s="133"/>
      <c r="J30" s="133"/>
      <c r="K30" s="133"/>
      <c r="L30" s="133"/>
      <c r="M30" s="133"/>
      <c r="N30" s="103"/>
      <c r="O30" s="112"/>
      <c r="P30" s="112"/>
    </row>
    <row r="31" spans="1:16" ht="26.25" customHeight="1">
      <c r="A31" s="17">
        <v>10</v>
      </c>
      <c r="B31" s="18"/>
      <c r="C31" s="19" t="s">
        <v>20</v>
      </c>
      <c r="D31" s="20" t="s">
        <v>6</v>
      </c>
      <c r="E31" s="91">
        <f>$D$6</f>
        <v>0</v>
      </c>
      <c r="F31" s="91">
        <v>1</v>
      </c>
      <c r="G31" s="22">
        <f>(687.3*E31*F31)/1000</f>
        <v>0</v>
      </c>
      <c r="H31" s="35">
        <f>(0*E31*F31)/1000</f>
        <v>0</v>
      </c>
      <c r="I31" s="35">
        <f>(E31*F31*0)/1000</f>
        <v>0</v>
      </c>
      <c r="J31" s="35">
        <f>(0*E31*F31)/1000</f>
        <v>0</v>
      </c>
      <c r="K31" s="22">
        <f>((G31+I31)*$K$12)</f>
        <v>0</v>
      </c>
      <c r="L31" s="22">
        <f>(SUM(G31:K31)*$L$12)</f>
        <v>0</v>
      </c>
      <c r="M31" s="22">
        <f>(SUM(G31:L31)*$M$12)</f>
        <v>0</v>
      </c>
      <c r="N31" s="102">
        <f>ROUND(G31+H31+J31+K31+L31+M31,2)</f>
        <v>0</v>
      </c>
      <c r="O31" s="112"/>
      <c r="P31" s="112"/>
    </row>
    <row r="32" spans="1:16" ht="26.25" customHeight="1">
      <c r="A32" s="17">
        <v>11</v>
      </c>
      <c r="B32" s="18"/>
      <c r="C32" s="19" t="s">
        <v>21</v>
      </c>
      <c r="D32" s="20" t="s">
        <v>22</v>
      </c>
      <c r="E32" s="91"/>
      <c r="F32" s="91">
        <v>1</v>
      </c>
      <c r="G32" s="22">
        <f>(577.3*E32*F32)/1000</f>
        <v>0</v>
      </c>
      <c r="H32" s="35">
        <f>(0*E32*F32)/1000</f>
        <v>0</v>
      </c>
      <c r="I32" s="35">
        <f>(E32*F32*0)/1000</f>
        <v>0</v>
      </c>
      <c r="J32" s="35">
        <f>(0*E32*F32)/1000</f>
        <v>0</v>
      </c>
      <c r="K32" s="22">
        <f>((G32+I32)*$K$12)</f>
        <v>0</v>
      </c>
      <c r="L32" s="22">
        <f>(SUM(G32:K32)*$L$12)</f>
        <v>0</v>
      </c>
      <c r="M32" s="22">
        <f>(SUM(G32:L32)*$M$12)</f>
        <v>0</v>
      </c>
      <c r="N32" s="102">
        <f>ROUND(G32+H32+J32+K32+L32+M32,2)</f>
        <v>0</v>
      </c>
      <c r="O32" s="112"/>
      <c r="P32" s="112"/>
    </row>
    <row r="33" spans="1:16" ht="18" customHeight="1">
      <c r="A33" s="17">
        <v>12</v>
      </c>
      <c r="B33" s="18"/>
      <c r="C33" s="19" t="s">
        <v>23</v>
      </c>
      <c r="D33" s="20" t="s">
        <v>22</v>
      </c>
      <c r="E33" s="91"/>
      <c r="F33" s="91">
        <v>1</v>
      </c>
      <c r="G33" s="22">
        <f>(376.6*E33*F33)/1000</f>
        <v>0</v>
      </c>
      <c r="H33" s="35">
        <f>(0*E33*F33)/1000</f>
        <v>0</v>
      </c>
      <c r="I33" s="35">
        <f>(E33*F33*0)/1000</f>
        <v>0</v>
      </c>
      <c r="J33" s="35">
        <f>(0*E33*F33)/1000</f>
        <v>0</v>
      </c>
      <c r="K33" s="22">
        <f>((G33+I33)*$K$12)</f>
        <v>0</v>
      </c>
      <c r="L33" s="22">
        <f>(SUM(G33:K33)*$L$12)</f>
        <v>0</v>
      </c>
      <c r="M33" s="22">
        <f>(SUM(G33:L33)*$M$12)</f>
        <v>0</v>
      </c>
      <c r="N33" s="102">
        <f>ROUND(G33+H33+J33+K33+L33+M33,2)</f>
        <v>0</v>
      </c>
      <c r="O33" s="112"/>
      <c r="P33" s="112"/>
    </row>
    <row r="34" spans="1:16" ht="18" customHeight="1">
      <c r="A34" s="17">
        <v>13</v>
      </c>
      <c r="B34" s="18"/>
      <c r="C34" s="19" t="s">
        <v>306</v>
      </c>
      <c r="D34" s="20" t="s">
        <v>22</v>
      </c>
      <c r="E34" s="91"/>
      <c r="F34" s="91">
        <v>1</v>
      </c>
      <c r="G34" s="22">
        <f>(289.65*E34*F34)/1000</f>
        <v>0</v>
      </c>
      <c r="H34" s="35">
        <f>(0*E34*F34)/1000</f>
        <v>0</v>
      </c>
      <c r="I34" s="35">
        <f>(E34*F34*0)/1000</f>
        <v>0</v>
      </c>
      <c r="J34" s="35">
        <f>(0*E34*F34)/1000</f>
        <v>0</v>
      </c>
      <c r="K34" s="22">
        <f>((G34+I34)*$K$12)</f>
        <v>0</v>
      </c>
      <c r="L34" s="23">
        <f>(SUM(G34:K34)*$L$12)</f>
        <v>0</v>
      </c>
      <c r="M34" s="22">
        <f>(SUM(G34:L34)*$M$12)</f>
        <v>0</v>
      </c>
      <c r="N34" s="102">
        <f>ROUND(G34+H34+J34+K34+L34+M34,2)</f>
        <v>0</v>
      </c>
      <c r="O34" s="112"/>
      <c r="P34" s="112"/>
    </row>
    <row r="35" spans="1:16" s="30" customFormat="1" ht="18" customHeight="1">
      <c r="A35" s="25"/>
      <c r="B35" s="26"/>
      <c r="C35" s="27" t="s">
        <v>164</v>
      </c>
      <c r="D35" s="28"/>
      <c r="E35" s="40"/>
      <c r="F35" s="41"/>
      <c r="G35" s="29">
        <f>SUM(G31:G34)</f>
        <v>0</v>
      </c>
      <c r="H35" s="29">
        <f aca="true" t="shared" si="5" ref="H35:M35">SUM(H31:H34)</f>
        <v>0</v>
      </c>
      <c r="I35" s="29">
        <f t="shared" si="5"/>
        <v>0</v>
      </c>
      <c r="J35" s="29">
        <f t="shared" si="5"/>
        <v>0</v>
      </c>
      <c r="K35" s="29">
        <f t="shared" si="5"/>
        <v>0</v>
      </c>
      <c r="L35" s="29">
        <f t="shared" si="5"/>
        <v>0</v>
      </c>
      <c r="M35" s="29">
        <f t="shared" si="5"/>
        <v>0</v>
      </c>
      <c r="N35" s="102">
        <f>SUM(N31:N34)</f>
        <v>0</v>
      </c>
      <c r="O35" s="139"/>
      <c r="P35" s="139"/>
    </row>
    <row r="36" spans="1:16" ht="16.5" customHeight="1">
      <c r="A36" s="132" t="s">
        <v>254</v>
      </c>
      <c r="B36" s="133"/>
      <c r="C36" s="133"/>
      <c r="D36" s="133"/>
      <c r="E36" s="133"/>
      <c r="F36" s="133"/>
      <c r="G36" s="133"/>
      <c r="H36" s="133"/>
      <c r="I36" s="133"/>
      <c r="J36" s="133"/>
      <c r="K36" s="133"/>
      <c r="L36" s="133"/>
      <c r="M36" s="133"/>
      <c r="N36" s="103"/>
      <c r="O36" s="112"/>
      <c r="P36" s="112"/>
    </row>
    <row r="37" spans="1:16" ht="18" customHeight="1">
      <c r="A37" s="17">
        <v>14</v>
      </c>
      <c r="B37" s="18"/>
      <c r="C37" s="19" t="s">
        <v>24</v>
      </c>
      <c r="D37" s="20" t="s">
        <v>25</v>
      </c>
      <c r="E37" s="91"/>
      <c r="F37" s="91">
        <v>1</v>
      </c>
      <c r="G37" s="22">
        <f>(824.76*E37*F37)/1000</f>
        <v>0</v>
      </c>
      <c r="H37" s="35">
        <f>(0*E37*F37)/1000</f>
        <v>0</v>
      </c>
      <c r="I37" s="35">
        <f>(E37*F37*0)/1000</f>
        <v>0</v>
      </c>
      <c r="J37" s="35">
        <f>(0*E37*F37)/1000</f>
        <v>0</v>
      </c>
      <c r="K37" s="22">
        <f aca="true" t="shared" si="6" ref="K37:K46">((G37+I37)*$K$12)</f>
        <v>0</v>
      </c>
      <c r="L37" s="22">
        <f>(SUM(G37:K37)*$L$12)</f>
        <v>0</v>
      </c>
      <c r="M37" s="22">
        <f aca="true" t="shared" si="7" ref="M37:M43">(SUM(G37:L37)*$M$12)</f>
        <v>0</v>
      </c>
      <c r="N37" s="102">
        <f aca="true" t="shared" si="8" ref="N37:N42">ROUND(G37+H37+J37+K37+L37+M37,2)</f>
        <v>0</v>
      </c>
      <c r="O37" s="112"/>
      <c r="P37" s="112"/>
    </row>
    <row r="38" spans="1:16" ht="18" customHeight="1">
      <c r="A38" s="17">
        <v>15</v>
      </c>
      <c r="B38" s="18"/>
      <c r="C38" s="19" t="s">
        <v>26</v>
      </c>
      <c r="D38" s="20" t="s">
        <v>25</v>
      </c>
      <c r="E38" s="91"/>
      <c r="F38" s="91">
        <v>1</v>
      </c>
      <c r="G38" s="22">
        <f>(769.78*E38*F38)/1000</f>
        <v>0</v>
      </c>
      <c r="H38" s="35">
        <f>(0*E38*F38)/1000</f>
        <v>0</v>
      </c>
      <c r="I38" s="35">
        <f>(E38*F38*0)/1000</f>
        <v>0</v>
      </c>
      <c r="J38" s="35">
        <f>(0*E38*F38)/1000</f>
        <v>0</v>
      </c>
      <c r="K38" s="22">
        <f t="shared" si="6"/>
        <v>0</v>
      </c>
      <c r="L38" s="22">
        <f aca="true" t="shared" si="9" ref="L38:L43">(SUM(G38:K38)*$L$12)</f>
        <v>0</v>
      </c>
      <c r="M38" s="22">
        <f t="shared" si="7"/>
        <v>0</v>
      </c>
      <c r="N38" s="102">
        <f t="shared" si="8"/>
        <v>0</v>
      </c>
      <c r="O38" s="112"/>
      <c r="P38" s="112"/>
    </row>
    <row r="39" spans="1:16" ht="18" customHeight="1">
      <c r="A39" s="17">
        <v>16</v>
      </c>
      <c r="B39" s="18"/>
      <c r="C39" s="19" t="s">
        <v>27</v>
      </c>
      <c r="D39" s="20" t="s">
        <v>25</v>
      </c>
      <c r="E39" s="91"/>
      <c r="F39" s="91">
        <v>1</v>
      </c>
      <c r="G39" s="111">
        <f>(714.8*E39*F39)/1000</f>
        <v>0</v>
      </c>
      <c r="H39" s="35">
        <f>(0*E39*F39)/1000</f>
        <v>0</v>
      </c>
      <c r="I39" s="35">
        <f>(E39*F39*0)/1000</f>
        <v>0</v>
      </c>
      <c r="J39" s="35">
        <f>(0*E39*F39)/1000</f>
        <v>0</v>
      </c>
      <c r="K39" s="22">
        <f t="shared" si="6"/>
        <v>0</v>
      </c>
      <c r="L39" s="22">
        <f t="shared" si="9"/>
        <v>0</v>
      </c>
      <c r="M39" s="22">
        <f t="shared" si="7"/>
        <v>0</v>
      </c>
      <c r="N39" s="102">
        <f t="shared" si="8"/>
        <v>0</v>
      </c>
      <c r="O39" s="112"/>
      <c r="P39" s="112"/>
    </row>
    <row r="40" spans="1:16" ht="18" customHeight="1">
      <c r="A40" s="17">
        <v>17</v>
      </c>
      <c r="B40" s="18"/>
      <c r="C40" s="19" t="s">
        <v>345</v>
      </c>
      <c r="D40" s="20" t="s">
        <v>25</v>
      </c>
      <c r="E40" s="91"/>
      <c r="F40" s="91">
        <v>1</v>
      </c>
      <c r="G40" s="35">
        <f>(65.98*E40*F40)/100</f>
        <v>0</v>
      </c>
      <c r="H40" s="35">
        <f>(0*E40*F40)/100</f>
        <v>0</v>
      </c>
      <c r="I40" s="35">
        <f>(E40*F40*0)/100</f>
        <v>0</v>
      </c>
      <c r="J40" s="35">
        <f>(0*E40*F40)/100</f>
        <v>0</v>
      </c>
      <c r="K40" s="22">
        <f t="shared" si="6"/>
        <v>0</v>
      </c>
      <c r="L40" s="22">
        <f t="shared" si="9"/>
        <v>0</v>
      </c>
      <c r="M40" s="22">
        <f t="shared" si="7"/>
        <v>0</v>
      </c>
      <c r="N40" s="102">
        <f t="shared" si="8"/>
        <v>0</v>
      </c>
      <c r="O40" s="112"/>
      <c r="P40" s="112"/>
    </row>
    <row r="41" spans="1:16" ht="19.5" customHeight="1">
      <c r="A41" s="17">
        <v>18</v>
      </c>
      <c r="B41" s="18"/>
      <c r="C41" s="19" t="s">
        <v>307</v>
      </c>
      <c r="D41" s="20" t="s">
        <v>25</v>
      </c>
      <c r="E41" s="91"/>
      <c r="F41" s="91">
        <v>1</v>
      </c>
      <c r="G41" s="35">
        <f>(674.81*E41*F41)/100</f>
        <v>0</v>
      </c>
      <c r="H41" s="35">
        <f>(0*E41*F41)/100</f>
        <v>0</v>
      </c>
      <c r="I41" s="35">
        <f>(E41*F41*0)/100</f>
        <v>0</v>
      </c>
      <c r="J41" s="35">
        <f>(0*E41*F41)/100</f>
        <v>0</v>
      </c>
      <c r="K41" s="22">
        <f t="shared" si="6"/>
        <v>0</v>
      </c>
      <c r="L41" s="22">
        <f t="shared" si="9"/>
        <v>0</v>
      </c>
      <c r="M41" s="22">
        <f t="shared" si="7"/>
        <v>0</v>
      </c>
      <c r="N41" s="102">
        <f t="shared" si="8"/>
        <v>0</v>
      </c>
      <c r="O41" s="112"/>
      <c r="P41" s="112"/>
    </row>
    <row r="42" spans="1:16" ht="19.5" customHeight="1">
      <c r="A42" s="17">
        <v>19</v>
      </c>
      <c r="B42" s="18"/>
      <c r="C42" s="19" t="s">
        <v>28</v>
      </c>
      <c r="D42" s="20" t="s">
        <v>25</v>
      </c>
      <c r="E42" s="91"/>
      <c r="F42" s="91">
        <v>1</v>
      </c>
      <c r="G42" s="35">
        <f>(299.92*E42*F42)/100</f>
        <v>0</v>
      </c>
      <c r="H42" s="35">
        <f>(0*E42*F42)/100</f>
        <v>0</v>
      </c>
      <c r="I42" s="35">
        <f>(E42*F42*0)/100</f>
        <v>0</v>
      </c>
      <c r="J42" s="35">
        <f>(0*E42*F42)/100</f>
        <v>0</v>
      </c>
      <c r="K42" s="22">
        <f t="shared" si="6"/>
        <v>0</v>
      </c>
      <c r="L42" s="22">
        <f t="shared" si="9"/>
        <v>0</v>
      </c>
      <c r="M42" s="22">
        <f t="shared" si="7"/>
        <v>0</v>
      </c>
      <c r="N42" s="102">
        <f t="shared" si="8"/>
        <v>0</v>
      </c>
      <c r="O42" s="112"/>
      <c r="P42" s="112"/>
    </row>
    <row r="43" spans="1:16" ht="24.75" customHeight="1">
      <c r="A43" s="17">
        <v>20</v>
      </c>
      <c r="B43" s="18" t="s">
        <v>3</v>
      </c>
      <c r="C43" s="19" t="s">
        <v>29</v>
      </c>
      <c r="D43" s="20" t="s">
        <v>30</v>
      </c>
      <c r="E43" s="91"/>
      <c r="F43" s="91">
        <v>1</v>
      </c>
      <c r="G43" s="35">
        <f>(96.76*E43*F43)/100</f>
        <v>0</v>
      </c>
      <c r="H43" s="35">
        <f>(0*E43*F43)/100</f>
        <v>0</v>
      </c>
      <c r="I43" s="35">
        <f>(E43*F43*0)/100</f>
        <v>0</v>
      </c>
      <c r="J43" s="35">
        <f>(0.21*E43*F43)/100</f>
        <v>0</v>
      </c>
      <c r="K43" s="22">
        <f t="shared" si="6"/>
        <v>0</v>
      </c>
      <c r="L43" s="22">
        <f t="shared" si="9"/>
        <v>0</v>
      </c>
      <c r="M43" s="22">
        <f t="shared" si="7"/>
        <v>0</v>
      </c>
      <c r="N43" s="102">
        <f>ROUND(G43+H43+J43+K43+L43+M43,2)</f>
        <v>0</v>
      </c>
      <c r="O43" s="112"/>
      <c r="P43" s="112"/>
    </row>
    <row r="44" spans="1:16" ht="17.25" customHeight="1">
      <c r="A44" s="17">
        <v>21</v>
      </c>
      <c r="B44" s="18" t="s">
        <v>3</v>
      </c>
      <c r="C44" s="19" t="s">
        <v>175</v>
      </c>
      <c r="D44" s="20" t="s">
        <v>18</v>
      </c>
      <c r="E44" s="91"/>
      <c r="F44" s="91">
        <v>1</v>
      </c>
      <c r="G44" s="35">
        <f>(1110.69*E44*F44)/10</f>
        <v>0</v>
      </c>
      <c r="H44" s="35">
        <f>(16.5*E44*F44)/10</f>
        <v>0</v>
      </c>
      <c r="I44" s="35">
        <f>(4.64*E44*F44)/10</f>
        <v>0</v>
      </c>
      <c r="J44" s="35">
        <f>(0*E44*F44)/10</f>
        <v>0</v>
      </c>
      <c r="K44" s="22">
        <f t="shared" si="6"/>
        <v>0</v>
      </c>
      <c r="L44" s="22">
        <f>(SUM(G44+H44+K44+J44)*$L$12)</f>
        <v>0</v>
      </c>
      <c r="M44" s="22">
        <f>(SUM(G44+H44+J44+K44+L44)*$M$12)</f>
        <v>0</v>
      </c>
      <c r="N44" s="102">
        <f>ROUND(G44+H44+J44+K44+L44+M44,2)</f>
        <v>0</v>
      </c>
      <c r="O44" s="112"/>
      <c r="P44" s="112"/>
    </row>
    <row r="45" spans="1:16" ht="16.5" customHeight="1">
      <c r="A45" s="17">
        <v>22</v>
      </c>
      <c r="B45" s="18" t="s">
        <v>3</v>
      </c>
      <c r="C45" s="19" t="s">
        <v>176</v>
      </c>
      <c r="D45" s="20" t="s">
        <v>18</v>
      </c>
      <c r="E45" s="91"/>
      <c r="F45" s="91">
        <v>1</v>
      </c>
      <c r="G45" s="35">
        <f>(1110.69*E45*F45)/10</f>
        <v>0</v>
      </c>
      <c r="H45" s="35">
        <f>(16.5*E45*F45)/10</f>
        <v>0</v>
      </c>
      <c r="I45" s="35">
        <f>(4.64*E45*F45)/10</f>
        <v>0</v>
      </c>
      <c r="J45" s="35">
        <f>(2550.1*E45*F45)/10</f>
        <v>0</v>
      </c>
      <c r="K45" s="22">
        <f t="shared" si="6"/>
        <v>0</v>
      </c>
      <c r="L45" s="22">
        <f>(SUM(G45+H45+K45+J45)*$L$12)</f>
        <v>0</v>
      </c>
      <c r="M45" s="22">
        <f>(SUM(G45+H45+J45+K45+L45)*$M$12)</f>
        <v>0</v>
      </c>
      <c r="N45" s="102">
        <f>ROUND(G45+H45+J45+K45+L45+M45,2)</f>
        <v>0</v>
      </c>
      <c r="O45" s="112"/>
      <c r="P45" s="112"/>
    </row>
    <row r="46" spans="1:16" ht="17.25" customHeight="1">
      <c r="A46" s="17">
        <v>23</v>
      </c>
      <c r="B46" s="18"/>
      <c r="C46" s="19" t="s">
        <v>177</v>
      </c>
      <c r="D46" s="20" t="s">
        <v>18</v>
      </c>
      <c r="E46" s="91"/>
      <c r="F46" s="91">
        <v>1</v>
      </c>
      <c r="G46" s="35">
        <f>(1110.69*E46*F46)/10</f>
        <v>0</v>
      </c>
      <c r="H46" s="35">
        <f>(16.5*E46*F46)/10</f>
        <v>0</v>
      </c>
      <c r="I46" s="35">
        <f>(4.64*E46*F46)/10</f>
        <v>0</v>
      </c>
      <c r="J46" s="35">
        <f>(119.09*E46*F46)/10</f>
        <v>0</v>
      </c>
      <c r="K46" s="22">
        <f t="shared" si="6"/>
        <v>0</v>
      </c>
      <c r="L46" s="22">
        <f>(SUM(G46+H46+K46+J46)*$L$12)</f>
        <v>0</v>
      </c>
      <c r="M46" s="22">
        <f>(SUM(G46+H46+J46+K46+L46)*$M$12)</f>
        <v>0</v>
      </c>
      <c r="N46" s="102">
        <f>ROUND(G46+H46+J46+K46+L46+M46,2)</f>
        <v>0</v>
      </c>
      <c r="O46" s="112"/>
      <c r="P46" s="112"/>
    </row>
    <row r="47" spans="1:16" s="30" customFormat="1" ht="18" customHeight="1">
      <c r="A47" s="25"/>
      <c r="B47" s="26"/>
      <c r="C47" s="27" t="s">
        <v>164</v>
      </c>
      <c r="D47" s="28"/>
      <c r="E47" s="40"/>
      <c r="F47" s="41"/>
      <c r="G47" s="29">
        <f aca="true" t="shared" si="10" ref="G47:M47">SUM(G37:G46)</f>
        <v>0</v>
      </c>
      <c r="H47" s="29">
        <f t="shared" si="10"/>
        <v>0</v>
      </c>
      <c r="I47" s="29">
        <f t="shared" si="10"/>
        <v>0</v>
      </c>
      <c r="J47" s="29">
        <f t="shared" si="10"/>
        <v>0</v>
      </c>
      <c r="K47" s="29">
        <f t="shared" si="10"/>
        <v>0</v>
      </c>
      <c r="L47" s="29">
        <f t="shared" si="10"/>
        <v>0</v>
      </c>
      <c r="M47" s="29">
        <f t="shared" si="10"/>
        <v>0</v>
      </c>
      <c r="N47" s="102">
        <f>SUM(N37:N46)</f>
        <v>0</v>
      </c>
      <c r="O47" s="139"/>
      <c r="P47" s="139"/>
    </row>
    <row r="48" spans="1:16" ht="22.5" customHeight="1">
      <c r="A48" s="132" t="s">
        <v>253</v>
      </c>
      <c r="B48" s="133"/>
      <c r="C48" s="133"/>
      <c r="D48" s="133"/>
      <c r="E48" s="133"/>
      <c r="F48" s="133"/>
      <c r="G48" s="133"/>
      <c r="H48" s="133"/>
      <c r="I48" s="133"/>
      <c r="J48" s="133"/>
      <c r="K48" s="133"/>
      <c r="L48" s="133"/>
      <c r="M48" s="133"/>
      <c r="N48" s="103"/>
      <c r="O48" s="112"/>
      <c r="P48" s="112"/>
    </row>
    <row r="49" spans="1:16" ht="26.25" customHeight="1">
      <c r="A49" s="17">
        <v>24</v>
      </c>
      <c r="B49" s="18" t="s">
        <v>3</v>
      </c>
      <c r="C49" s="19" t="s">
        <v>33</v>
      </c>
      <c r="D49" s="20" t="s">
        <v>34</v>
      </c>
      <c r="E49" s="91">
        <f>$D$6</f>
        <v>0</v>
      </c>
      <c r="F49" s="91">
        <v>1</v>
      </c>
      <c r="G49" s="22">
        <f>(1099.68*E49*F49)/1000</f>
        <v>0</v>
      </c>
      <c r="H49" s="35">
        <f>(0*E49*F49)/1000</f>
        <v>0</v>
      </c>
      <c r="I49" s="35">
        <f>(E49*F49*0)/1000</f>
        <v>0</v>
      </c>
      <c r="J49" s="35">
        <f>(0*E49*F49)/1000</f>
        <v>0</v>
      </c>
      <c r="K49" s="22">
        <f>((G49+I49)*$K$12)</f>
        <v>0</v>
      </c>
      <c r="L49" s="22">
        <f>(SUM(G49:K49)*$L$12)</f>
        <v>0</v>
      </c>
      <c r="M49" s="22">
        <f>(SUM(G49:L49)*$M$12)</f>
        <v>0</v>
      </c>
      <c r="N49" s="102">
        <f>ROUND(G49+H49+J49+K49+L49+M49,2)</f>
        <v>0</v>
      </c>
      <c r="O49" s="112"/>
      <c r="P49" s="112"/>
    </row>
    <row r="50" spans="1:16" s="30" customFormat="1" ht="18" customHeight="1">
      <c r="A50" s="25"/>
      <c r="B50" s="26"/>
      <c r="C50" s="27" t="s">
        <v>164</v>
      </c>
      <c r="D50" s="28"/>
      <c r="E50" s="40"/>
      <c r="F50" s="41"/>
      <c r="G50" s="29">
        <f aca="true" t="shared" si="11" ref="G50:M50">SUM(G49)</f>
        <v>0</v>
      </c>
      <c r="H50" s="29">
        <f t="shared" si="11"/>
        <v>0</v>
      </c>
      <c r="I50" s="29">
        <f t="shared" si="11"/>
        <v>0</v>
      </c>
      <c r="J50" s="29">
        <f t="shared" si="11"/>
        <v>0</v>
      </c>
      <c r="K50" s="29">
        <f t="shared" si="11"/>
        <v>0</v>
      </c>
      <c r="L50" s="29">
        <f t="shared" si="11"/>
        <v>0</v>
      </c>
      <c r="M50" s="29">
        <f t="shared" si="11"/>
        <v>0</v>
      </c>
      <c r="N50" s="102">
        <f>SUM(N49)</f>
        <v>0</v>
      </c>
      <c r="O50" s="139"/>
      <c r="P50" s="139"/>
    </row>
    <row r="51" spans="1:16" ht="18.75" customHeight="1">
      <c r="A51" s="134" t="s">
        <v>310</v>
      </c>
      <c r="B51" s="135"/>
      <c r="C51" s="135"/>
      <c r="D51" s="135"/>
      <c r="E51" s="135"/>
      <c r="F51" s="135"/>
      <c r="G51" s="135"/>
      <c r="H51" s="135"/>
      <c r="I51" s="135"/>
      <c r="J51" s="135"/>
      <c r="K51" s="135"/>
      <c r="L51" s="135"/>
      <c r="M51" s="136"/>
      <c r="N51" s="103"/>
      <c r="O51" s="112"/>
      <c r="P51" s="112"/>
    </row>
    <row r="52" spans="1:16" ht="51" customHeight="1">
      <c r="A52" s="17">
        <v>25</v>
      </c>
      <c r="B52" s="18" t="s">
        <v>3</v>
      </c>
      <c r="C52" s="19" t="s">
        <v>31</v>
      </c>
      <c r="D52" s="20" t="s">
        <v>302</v>
      </c>
      <c r="E52" s="91"/>
      <c r="F52" s="91">
        <v>1</v>
      </c>
      <c r="G52" s="22">
        <f>(824.8*E52*F52)/1000</f>
        <v>0</v>
      </c>
      <c r="H52" s="35">
        <f>(0*E52*F52)/1000</f>
        <v>0</v>
      </c>
      <c r="I52" s="35">
        <f>(E52*F52*0)/1000</f>
        <v>0</v>
      </c>
      <c r="J52" s="35">
        <f>(0*E52*F52)/1000</f>
        <v>0</v>
      </c>
      <c r="K52" s="22">
        <f>((G52+I52)*$K$12)</f>
        <v>0</v>
      </c>
      <c r="L52" s="22">
        <f>(SUM(G52:K52)*$L$12)</f>
        <v>0</v>
      </c>
      <c r="M52" s="22">
        <f>(SUM(G52:L52)*$M$12)</f>
        <v>0</v>
      </c>
      <c r="N52" s="102">
        <f>ROUND(G52+H52+J52+K52+L52+M52,2)</f>
        <v>0</v>
      </c>
      <c r="O52" s="112"/>
      <c r="P52" s="112"/>
    </row>
    <row r="53" spans="1:16" ht="15.75" customHeight="1">
      <c r="A53" s="17">
        <v>26</v>
      </c>
      <c r="B53" s="18"/>
      <c r="C53" s="19" t="s">
        <v>178</v>
      </c>
      <c r="D53" s="20"/>
      <c r="E53" s="20"/>
      <c r="F53" s="20"/>
      <c r="G53" s="35"/>
      <c r="H53" s="35"/>
      <c r="I53" s="35"/>
      <c r="J53" s="35"/>
      <c r="K53" s="22"/>
      <c r="L53" s="23"/>
      <c r="M53" s="22"/>
      <c r="N53" s="102"/>
      <c r="O53" s="112"/>
      <c r="P53" s="112"/>
    </row>
    <row r="54" spans="1:16" ht="19.5" customHeight="1">
      <c r="A54" s="24" t="s">
        <v>256</v>
      </c>
      <c r="B54" s="18"/>
      <c r="C54" s="19" t="s">
        <v>179</v>
      </c>
      <c r="D54" s="20" t="s">
        <v>182</v>
      </c>
      <c r="E54" s="91"/>
      <c r="F54" s="91">
        <v>1</v>
      </c>
      <c r="G54" s="35">
        <f>(28026.46*E54*F54)/100</f>
        <v>0</v>
      </c>
      <c r="H54" s="35">
        <f>(0*E54*F54)/100</f>
        <v>0</v>
      </c>
      <c r="I54" s="35">
        <f>(E54*F54*0)/100</f>
        <v>0</v>
      </c>
      <c r="J54" s="35">
        <f>(72039.93*E54*F54)/100</f>
        <v>0</v>
      </c>
      <c r="K54" s="22">
        <f>((G54+I54)*$K$12)</f>
        <v>0</v>
      </c>
      <c r="L54" s="22">
        <f>(SUM(G54:K54)*$L$12)</f>
        <v>0</v>
      </c>
      <c r="M54" s="22">
        <f>(SUM(G54:L54)*$M$12)</f>
        <v>0</v>
      </c>
      <c r="N54" s="102">
        <f>ROUND(G54+H54+J54+K54+L54+M54,2)</f>
        <v>0</v>
      </c>
      <c r="O54" s="112"/>
      <c r="P54" s="112"/>
    </row>
    <row r="55" spans="1:16" ht="19.5" customHeight="1">
      <c r="A55" s="24" t="s">
        <v>256</v>
      </c>
      <c r="B55" s="18"/>
      <c r="C55" s="19" t="s">
        <v>180</v>
      </c>
      <c r="D55" s="20" t="s">
        <v>181</v>
      </c>
      <c r="E55" s="91"/>
      <c r="F55" s="91"/>
      <c r="G55" s="35"/>
      <c r="H55" s="35"/>
      <c r="I55" s="35"/>
      <c r="J55" s="35"/>
      <c r="K55" s="22"/>
      <c r="L55" s="23"/>
      <c r="M55" s="22"/>
      <c r="N55" s="102">
        <v>0</v>
      </c>
      <c r="O55" s="112"/>
      <c r="P55" s="112"/>
    </row>
    <row r="56" spans="1:16" s="30" customFormat="1" ht="18" customHeight="1">
      <c r="A56" s="25"/>
      <c r="B56" s="26"/>
      <c r="C56" s="27" t="s">
        <v>164</v>
      </c>
      <c r="D56" s="28"/>
      <c r="E56" s="40"/>
      <c r="F56" s="41"/>
      <c r="G56" s="29">
        <f aca="true" t="shared" si="12" ref="G56:M56">SUM(G52:G55)</f>
        <v>0</v>
      </c>
      <c r="H56" s="29">
        <f t="shared" si="12"/>
        <v>0</v>
      </c>
      <c r="I56" s="29">
        <f t="shared" si="12"/>
        <v>0</v>
      </c>
      <c r="J56" s="29">
        <f t="shared" si="12"/>
        <v>0</v>
      </c>
      <c r="K56" s="29">
        <f t="shared" si="12"/>
        <v>0</v>
      </c>
      <c r="L56" s="29">
        <f t="shared" si="12"/>
        <v>0</v>
      </c>
      <c r="M56" s="29">
        <f t="shared" si="12"/>
        <v>0</v>
      </c>
      <c r="N56" s="102">
        <f>SUM(N52:N55)</f>
        <v>0</v>
      </c>
      <c r="O56" s="139"/>
      <c r="P56" s="139"/>
    </row>
    <row r="57" spans="1:16" ht="21" customHeight="1">
      <c r="A57" s="132" t="s">
        <v>350</v>
      </c>
      <c r="B57" s="133"/>
      <c r="C57" s="133"/>
      <c r="D57" s="133"/>
      <c r="E57" s="133"/>
      <c r="F57" s="133"/>
      <c r="G57" s="133"/>
      <c r="H57" s="133"/>
      <c r="I57" s="133"/>
      <c r="J57" s="133"/>
      <c r="K57" s="133"/>
      <c r="L57" s="133"/>
      <c r="M57" s="133"/>
      <c r="N57" s="103"/>
      <c r="O57" s="112"/>
      <c r="P57" s="112"/>
    </row>
    <row r="58" spans="1:16" ht="18.75" customHeight="1">
      <c r="A58" s="132" t="s">
        <v>311</v>
      </c>
      <c r="B58" s="133"/>
      <c r="C58" s="133"/>
      <c r="D58" s="133"/>
      <c r="E58" s="133"/>
      <c r="F58" s="133"/>
      <c r="G58" s="133"/>
      <c r="H58" s="133"/>
      <c r="I58" s="133"/>
      <c r="J58" s="133"/>
      <c r="K58" s="133"/>
      <c r="L58" s="133"/>
      <c r="M58" s="133"/>
      <c r="N58" s="103"/>
      <c r="O58" s="112"/>
      <c r="P58" s="112"/>
    </row>
    <row r="59" spans="1:16" ht="37.5" customHeight="1">
      <c r="A59" s="17">
        <v>27</v>
      </c>
      <c r="B59" s="18" t="s">
        <v>43</v>
      </c>
      <c r="C59" s="19" t="s">
        <v>257</v>
      </c>
      <c r="D59" s="20" t="s">
        <v>258</v>
      </c>
      <c r="E59" s="91"/>
      <c r="F59" s="91">
        <v>1</v>
      </c>
      <c r="G59" s="35">
        <f>(11.32*E59*F59)</f>
        <v>0</v>
      </c>
      <c r="H59" s="35">
        <f>(0*E59*F59)</f>
        <v>0</v>
      </c>
      <c r="I59" s="35">
        <f>(E59*F59*0)</f>
        <v>0</v>
      </c>
      <c r="J59" s="35">
        <f>(0*E59*F59)</f>
        <v>0</v>
      </c>
      <c r="K59" s="22">
        <f>((G59+I59)*$K$12)</f>
        <v>0</v>
      </c>
      <c r="L59" s="22">
        <f>(SUM(G59:K59)*$L$12)</f>
        <v>0</v>
      </c>
      <c r="M59" s="22">
        <f>(SUM(G59:L59)*$M$12)</f>
        <v>0</v>
      </c>
      <c r="N59" s="102">
        <f>ROUND(G59+H59+J59+K59+L59+M59,2)</f>
        <v>0</v>
      </c>
      <c r="O59" s="112"/>
      <c r="P59" s="112"/>
    </row>
    <row r="60" spans="1:16" ht="18.75" customHeight="1">
      <c r="A60" s="137" t="s">
        <v>312</v>
      </c>
      <c r="B60" s="138"/>
      <c r="C60" s="138"/>
      <c r="D60" s="138"/>
      <c r="E60" s="138"/>
      <c r="F60" s="138"/>
      <c r="G60" s="138"/>
      <c r="H60" s="138"/>
      <c r="I60" s="138"/>
      <c r="J60" s="138"/>
      <c r="K60" s="138"/>
      <c r="L60" s="138"/>
      <c r="M60" s="138"/>
      <c r="N60" s="103"/>
      <c r="O60" s="112"/>
      <c r="P60" s="112"/>
    </row>
    <row r="61" spans="1:16" ht="28.5" customHeight="1">
      <c r="A61" s="17">
        <v>28</v>
      </c>
      <c r="B61" s="18" t="s">
        <v>43</v>
      </c>
      <c r="C61" s="19" t="s">
        <v>44</v>
      </c>
      <c r="D61" s="20" t="s">
        <v>47</v>
      </c>
      <c r="E61" s="91"/>
      <c r="F61" s="91">
        <v>1</v>
      </c>
      <c r="G61" s="35">
        <f>(205.44*E61*F61)</f>
        <v>0</v>
      </c>
      <c r="H61" s="35">
        <f aca="true" t="shared" si="13" ref="H61:H72">(0*E61*F61)</f>
        <v>0</v>
      </c>
      <c r="I61" s="35">
        <f aca="true" t="shared" si="14" ref="I61:I72">(E61*F61*0)</f>
        <v>0</v>
      </c>
      <c r="J61" s="35">
        <f>(1.24*E61*F61)</f>
        <v>0</v>
      </c>
      <c r="K61" s="22">
        <f aca="true" t="shared" si="15" ref="K61:K72">((G61+I61)*$K$12)</f>
        <v>0</v>
      </c>
      <c r="L61" s="22">
        <f aca="true" t="shared" si="16" ref="L61:L72">(SUM(G61:K61)*$L$12)</f>
        <v>0</v>
      </c>
      <c r="M61" s="22">
        <f aca="true" t="shared" si="17" ref="M61:M72">(SUM(G61:L61)*$M$12)</f>
        <v>0</v>
      </c>
      <c r="N61" s="102">
        <f aca="true" t="shared" si="18" ref="N61:N72">ROUND(G61+H61+J61+K61+L61+M61,2)</f>
        <v>0</v>
      </c>
      <c r="O61" s="112"/>
      <c r="P61" s="112"/>
    </row>
    <row r="62" spans="1:16" ht="28.5" customHeight="1">
      <c r="A62" s="17">
        <v>29</v>
      </c>
      <c r="B62" s="18" t="s">
        <v>45</v>
      </c>
      <c r="C62" s="19" t="s">
        <v>46</v>
      </c>
      <c r="D62" s="20" t="s">
        <v>47</v>
      </c>
      <c r="E62" s="91"/>
      <c r="F62" s="91">
        <v>1</v>
      </c>
      <c r="G62" s="35">
        <f>(207.5*E62*F62)</f>
        <v>0</v>
      </c>
      <c r="H62" s="35">
        <f t="shared" si="13"/>
        <v>0</v>
      </c>
      <c r="I62" s="35">
        <f t="shared" si="14"/>
        <v>0</v>
      </c>
      <c r="J62" s="35">
        <f>(1.24*E62*F62)</f>
        <v>0</v>
      </c>
      <c r="K62" s="22">
        <f t="shared" si="15"/>
        <v>0</v>
      </c>
      <c r="L62" s="22">
        <f t="shared" si="16"/>
        <v>0</v>
      </c>
      <c r="M62" s="22">
        <f t="shared" si="17"/>
        <v>0</v>
      </c>
      <c r="N62" s="102">
        <f t="shared" si="18"/>
        <v>0</v>
      </c>
      <c r="O62" s="112"/>
      <c r="P62" s="112"/>
    </row>
    <row r="63" spans="1:16" ht="28.5" customHeight="1">
      <c r="A63" s="17">
        <v>30</v>
      </c>
      <c r="B63" s="18" t="s">
        <v>3</v>
      </c>
      <c r="C63" s="19" t="s">
        <v>60</v>
      </c>
      <c r="D63" s="20" t="s">
        <v>47</v>
      </c>
      <c r="E63" s="91"/>
      <c r="F63" s="91">
        <v>1</v>
      </c>
      <c r="G63" s="35">
        <f>(313.16*E63*F63)</f>
        <v>0</v>
      </c>
      <c r="H63" s="35">
        <f t="shared" si="13"/>
        <v>0</v>
      </c>
      <c r="I63" s="35">
        <f t="shared" si="14"/>
        <v>0</v>
      </c>
      <c r="J63" s="35">
        <f>(1.88*E63*F63)</f>
        <v>0</v>
      </c>
      <c r="K63" s="22">
        <f t="shared" si="15"/>
        <v>0</v>
      </c>
      <c r="L63" s="22">
        <f t="shared" si="16"/>
        <v>0</v>
      </c>
      <c r="M63" s="22">
        <f t="shared" si="17"/>
        <v>0</v>
      </c>
      <c r="N63" s="102">
        <f t="shared" si="18"/>
        <v>0</v>
      </c>
      <c r="O63" s="112"/>
      <c r="P63" s="112"/>
    </row>
    <row r="64" spans="1:16" ht="28.5" customHeight="1">
      <c r="A64" s="17">
        <v>31</v>
      </c>
      <c r="B64" s="18" t="s">
        <v>41</v>
      </c>
      <c r="C64" s="19" t="s">
        <v>69</v>
      </c>
      <c r="D64" s="20" t="s">
        <v>47</v>
      </c>
      <c r="E64" s="91"/>
      <c r="F64" s="91">
        <v>1</v>
      </c>
      <c r="G64" s="35">
        <f>(316.29*E64*F64)</f>
        <v>0</v>
      </c>
      <c r="H64" s="35">
        <f t="shared" si="13"/>
        <v>0</v>
      </c>
      <c r="I64" s="35">
        <f t="shared" si="14"/>
        <v>0</v>
      </c>
      <c r="J64" s="35">
        <f>(1.88*E64*F64)</f>
        <v>0</v>
      </c>
      <c r="K64" s="22">
        <f t="shared" si="15"/>
        <v>0</v>
      </c>
      <c r="L64" s="22">
        <f t="shared" si="16"/>
        <v>0</v>
      </c>
      <c r="M64" s="22">
        <f t="shared" si="17"/>
        <v>0</v>
      </c>
      <c r="N64" s="102">
        <f t="shared" si="18"/>
        <v>0</v>
      </c>
      <c r="O64" s="112"/>
      <c r="P64" s="112"/>
    </row>
    <row r="65" spans="1:16" ht="28.5" customHeight="1">
      <c r="A65" s="17">
        <v>32</v>
      </c>
      <c r="B65" s="18" t="s">
        <v>48</v>
      </c>
      <c r="C65" s="19" t="s">
        <v>61</v>
      </c>
      <c r="D65" s="20" t="s">
        <v>47</v>
      </c>
      <c r="E65" s="91"/>
      <c r="F65" s="91">
        <v>1</v>
      </c>
      <c r="G65" s="35">
        <f>(149.53*E65*F65)</f>
        <v>0</v>
      </c>
      <c r="H65" s="35">
        <f t="shared" si="13"/>
        <v>0</v>
      </c>
      <c r="I65" s="35">
        <f t="shared" si="14"/>
        <v>0</v>
      </c>
      <c r="J65" s="35">
        <f>(0.89*E65*F65)</f>
        <v>0</v>
      </c>
      <c r="K65" s="22">
        <f t="shared" si="15"/>
        <v>0</v>
      </c>
      <c r="L65" s="22">
        <f t="shared" si="16"/>
        <v>0</v>
      </c>
      <c r="M65" s="22">
        <f t="shared" si="17"/>
        <v>0</v>
      </c>
      <c r="N65" s="102">
        <f t="shared" si="18"/>
        <v>0</v>
      </c>
      <c r="O65" s="112"/>
      <c r="P65" s="112"/>
    </row>
    <row r="66" spans="1:16" ht="28.5" customHeight="1">
      <c r="A66" s="17">
        <v>33</v>
      </c>
      <c r="B66" s="18" t="s">
        <v>49</v>
      </c>
      <c r="C66" s="19" t="s">
        <v>62</v>
      </c>
      <c r="D66" s="20" t="s">
        <v>47</v>
      </c>
      <c r="E66" s="91"/>
      <c r="F66" s="91">
        <v>1</v>
      </c>
      <c r="G66" s="35">
        <f>(151.03*E66*F66)</f>
        <v>0</v>
      </c>
      <c r="H66" s="35">
        <f t="shared" si="13"/>
        <v>0</v>
      </c>
      <c r="I66" s="35">
        <f t="shared" si="14"/>
        <v>0</v>
      </c>
      <c r="J66" s="35">
        <f>(0.89*E66*F66)</f>
        <v>0</v>
      </c>
      <c r="K66" s="22">
        <f t="shared" si="15"/>
        <v>0</v>
      </c>
      <c r="L66" s="22">
        <f t="shared" si="16"/>
        <v>0</v>
      </c>
      <c r="M66" s="22">
        <f t="shared" si="17"/>
        <v>0</v>
      </c>
      <c r="N66" s="102">
        <f t="shared" si="18"/>
        <v>0</v>
      </c>
      <c r="O66" s="112"/>
      <c r="P66" s="112"/>
    </row>
    <row r="67" spans="1:16" ht="17.25" customHeight="1">
      <c r="A67" s="17">
        <v>34</v>
      </c>
      <c r="B67" s="18" t="s">
        <v>50</v>
      </c>
      <c r="C67" s="19" t="s">
        <v>63</v>
      </c>
      <c r="D67" s="20" t="s">
        <v>47</v>
      </c>
      <c r="E67" s="91"/>
      <c r="F67" s="91">
        <v>1</v>
      </c>
      <c r="G67" s="35">
        <f>(278.1*E67*F67)</f>
        <v>0</v>
      </c>
      <c r="H67" s="35">
        <f t="shared" si="13"/>
        <v>0</v>
      </c>
      <c r="I67" s="35">
        <f t="shared" si="14"/>
        <v>0</v>
      </c>
      <c r="J67" s="35">
        <f>(1.65*E67*F67)</f>
        <v>0</v>
      </c>
      <c r="K67" s="22">
        <f t="shared" si="15"/>
        <v>0</v>
      </c>
      <c r="L67" s="22">
        <f t="shared" si="16"/>
        <v>0</v>
      </c>
      <c r="M67" s="22">
        <f t="shared" si="17"/>
        <v>0</v>
      </c>
      <c r="N67" s="102">
        <f t="shared" si="18"/>
        <v>0</v>
      </c>
      <c r="O67" s="112"/>
      <c r="P67" s="112"/>
    </row>
    <row r="68" spans="1:16" ht="24.75" customHeight="1">
      <c r="A68" s="17">
        <v>35</v>
      </c>
      <c r="B68" s="18" t="s">
        <v>51</v>
      </c>
      <c r="C68" s="19" t="s">
        <v>64</v>
      </c>
      <c r="D68" s="20" t="s">
        <v>47</v>
      </c>
      <c r="E68" s="91"/>
      <c r="F68" s="91">
        <v>1</v>
      </c>
      <c r="G68" s="35">
        <f>(412.72*E68*F68)</f>
        <v>0</v>
      </c>
      <c r="H68" s="35">
        <f t="shared" si="13"/>
        <v>0</v>
      </c>
      <c r="I68" s="35">
        <f t="shared" si="14"/>
        <v>0</v>
      </c>
      <c r="J68" s="35">
        <f>(2.44*E68*F68)</f>
        <v>0</v>
      </c>
      <c r="K68" s="22">
        <f t="shared" si="15"/>
        <v>0</v>
      </c>
      <c r="L68" s="22">
        <f t="shared" si="16"/>
        <v>0</v>
      </c>
      <c r="M68" s="22">
        <f t="shared" si="17"/>
        <v>0</v>
      </c>
      <c r="N68" s="102">
        <f t="shared" si="18"/>
        <v>0</v>
      </c>
      <c r="O68" s="112"/>
      <c r="P68" s="112"/>
    </row>
    <row r="69" spans="1:16" ht="24.75" customHeight="1">
      <c r="A69" s="17">
        <v>36</v>
      </c>
      <c r="B69" s="18" t="s">
        <v>52</v>
      </c>
      <c r="C69" s="19" t="s">
        <v>65</v>
      </c>
      <c r="D69" s="20" t="s">
        <v>47</v>
      </c>
      <c r="E69" s="91"/>
      <c r="F69" s="91">
        <v>1</v>
      </c>
      <c r="G69" s="35">
        <f>(174.61*E69*F69)</f>
        <v>0</v>
      </c>
      <c r="H69" s="35">
        <f t="shared" si="13"/>
        <v>0</v>
      </c>
      <c r="I69" s="35">
        <f t="shared" si="14"/>
        <v>0</v>
      </c>
      <c r="J69" s="35">
        <f>(1.04*E69*F69)</f>
        <v>0</v>
      </c>
      <c r="K69" s="22">
        <f t="shared" si="15"/>
        <v>0</v>
      </c>
      <c r="L69" s="22">
        <f t="shared" si="16"/>
        <v>0</v>
      </c>
      <c r="M69" s="22">
        <f t="shared" si="17"/>
        <v>0</v>
      </c>
      <c r="N69" s="102">
        <f t="shared" si="18"/>
        <v>0</v>
      </c>
      <c r="O69" s="112"/>
      <c r="P69" s="112"/>
    </row>
    <row r="70" spans="1:16" ht="24.75" customHeight="1">
      <c r="A70" s="17">
        <v>37</v>
      </c>
      <c r="B70" s="18" t="s">
        <v>53</v>
      </c>
      <c r="C70" s="19" t="s">
        <v>66</v>
      </c>
      <c r="D70" s="20" t="s">
        <v>47</v>
      </c>
      <c r="E70" s="91"/>
      <c r="F70" s="91">
        <v>1</v>
      </c>
      <c r="G70" s="35">
        <f>(361.4*E70*F70)</f>
        <v>0</v>
      </c>
      <c r="H70" s="35">
        <f t="shared" si="13"/>
        <v>0</v>
      </c>
      <c r="I70" s="35">
        <f t="shared" si="14"/>
        <v>0</v>
      </c>
      <c r="J70" s="35">
        <f>(2.17*E70*F70)</f>
        <v>0</v>
      </c>
      <c r="K70" s="22">
        <f t="shared" si="15"/>
        <v>0</v>
      </c>
      <c r="L70" s="22">
        <f t="shared" si="16"/>
        <v>0</v>
      </c>
      <c r="M70" s="22">
        <f t="shared" si="17"/>
        <v>0</v>
      </c>
      <c r="N70" s="102">
        <f t="shared" si="18"/>
        <v>0</v>
      </c>
      <c r="O70" s="112"/>
      <c r="P70" s="112"/>
    </row>
    <row r="71" spans="1:16" ht="24.75" customHeight="1">
      <c r="A71" s="17">
        <v>38</v>
      </c>
      <c r="B71" s="18" t="s">
        <v>54</v>
      </c>
      <c r="C71" s="19" t="s">
        <v>67</v>
      </c>
      <c r="D71" s="20" t="s">
        <v>47</v>
      </c>
      <c r="E71" s="91"/>
      <c r="F71" s="91">
        <v>1</v>
      </c>
      <c r="G71" s="35">
        <f>(483.83*E71*F71)</f>
        <v>0</v>
      </c>
      <c r="H71" s="35">
        <f t="shared" si="13"/>
        <v>0</v>
      </c>
      <c r="I71" s="35">
        <f t="shared" si="14"/>
        <v>0</v>
      </c>
      <c r="J71" s="35">
        <f>(2.87*E71*F71)</f>
        <v>0</v>
      </c>
      <c r="K71" s="22">
        <f t="shared" si="15"/>
        <v>0</v>
      </c>
      <c r="L71" s="22">
        <f t="shared" si="16"/>
        <v>0</v>
      </c>
      <c r="M71" s="22">
        <f t="shared" si="17"/>
        <v>0</v>
      </c>
      <c r="N71" s="102">
        <f t="shared" si="18"/>
        <v>0</v>
      </c>
      <c r="O71" s="112"/>
      <c r="P71" s="112"/>
    </row>
    <row r="72" spans="1:16" ht="24.75" customHeight="1">
      <c r="A72" s="17">
        <v>39</v>
      </c>
      <c r="B72" s="18" t="s">
        <v>55</v>
      </c>
      <c r="C72" s="19" t="s">
        <v>68</v>
      </c>
      <c r="D72" s="20" t="s">
        <v>47</v>
      </c>
      <c r="E72" s="91"/>
      <c r="F72" s="91">
        <v>1</v>
      </c>
      <c r="G72" s="35">
        <f>(238.55*E72*F72)</f>
        <v>0</v>
      </c>
      <c r="H72" s="35">
        <f t="shared" si="13"/>
        <v>0</v>
      </c>
      <c r="I72" s="35">
        <f t="shared" si="14"/>
        <v>0</v>
      </c>
      <c r="J72" s="35">
        <f>(1.43*E72*F72)</f>
        <v>0</v>
      </c>
      <c r="K72" s="22">
        <f t="shared" si="15"/>
        <v>0</v>
      </c>
      <c r="L72" s="22">
        <f t="shared" si="16"/>
        <v>0</v>
      </c>
      <c r="M72" s="22">
        <f t="shared" si="17"/>
        <v>0</v>
      </c>
      <c r="N72" s="102">
        <f t="shared" si="18"/>
        <v>0</v>
      </c>
      <c r="O72" s="112"/>
      <c r="P72" s="112"/>
    </row>
    <row r="73" spans="1:16" ht="14.25" customHeight="1">
      <c r="A73" s="137" t="s">
        <v>313</v>
      </c>
      <c r="B73" s="138"/>
      <c r="C73" s="138"/>
      <c r="D73" s="138"/>
      <c r="E73" s="138"/>
      <c r="F73" s="138"/>
      <c r="G73" s="138"/>
      <c r="H73" s="138"/>
      <c r="I73" s="138"/>
      <c r="J73" s="138"/>
      <c r="K73" s="138"/>
      <c r="L73" s="138"/>
      <c r="M73" s="138"/>
      <c r="N73" s="103"/>
      <c r="O73" s="112"/>
      <c r="P73" s="112"/>
    </row>
    <row r="74" spans="1:16" ht="17.25" customHeight="1">
      <c r="A74" s="17">
        <v>40</v>
      </c>
      <c r="B74" s="18" t="s">
        <v>3</v>
      </c>
      <c r="C74" s="19" t="s">
        <v>78</v>
      </c>
      <c r="D74" s="20" t="s">
        <v>38</v>
      </c>
      <c r="E74" s="91"/>
      <c r="F74" s="91">
        <v>1</v>
      </c>
      <c r="G74" s="35">
        <f>(52.06*E74*F74)</f>
        <v>0</v>
      </c>
      <c r="H74" s="35">
        <f>(0*E74*F74)</f>
        <v>0</v>
      </c>
      <c r="I74" s="35">
        <f>(E74*F74*0)</f>
        <v>0</v>
      </c>
      <c r="J74" s="35">
        <f>(63.65*E74*F74)</f>
        <v>0</v>
      </c>
      <c r="K74" s="22">
        <f>((G74+I74)*$K$12)</f>
        <v>0</v>
      </c>
      <c r="L74" s="22">
        <f>(SUM(G74:K74)*$L$12)</f>
        <v>0</v>
      </c>
      <c r="M74" s="22">
        <f>(SUM(G74:L74)*$M$12)</f>
        <v>0</v>
      </c>
      <c r="N74" s="102">
        <f>ROUND(G74+H74+J74+K74+L74+M74,2)</f>
        <v>0</v>
      </c>
      <c r="O74" s="112"/>
      <c r="P74" s="112"/>
    </row>
    <row r="75" spans="1:16" ht="17.25" customHeight="1">
      <c r="A75" s="17">
        <v>41</v>
      </c>
      <c r="B75" s="18" t="s">
        <v>41</v>
      </c>
      <c r="C75" s="19" t="s">
        <v>37</v>
      </c>
      <c r="D75" s="20" t="s">
        <v>38</v>
      </c>
      <c r="E75" s="91"/>
      <c r="F75" s="91">
        <v>1</v>
      </c>
      <c r="G75" s="35">
        <f>(107.47*E75*F75)</f>
        <v>0</v>
      </c>
      <c r="H75" s="35">
        <f>(0*E75*F75)</f>
        <v>0</v>
      </c>
      <c r="I75" s="35">
        <f>(E75*F75*0)</f>
        <v>0</v>
      </c>
      <c r="J75" s="35">
        <f>(63.65*E75*F75)</f>
        <v>0</v>
      </c>
      <c r="K75" s="22">
        <f>((G75+I75)*$K$12)</f>
        <v>0</v>
      </c>
      <c r="L75" s="22">
        <f>(SUM(G75:K75)*$L$12)</f>
        <v>0</v>
      </c>
      <c r="M75" s="22">
        <f>(SUM(G75:L75)*$M$12)</f>
        <v>0</v>
      </c>
      <c r="N75" s="102">
        <f>ROUND(G75+H75+J75+K75+L75+M75,2)</f>
        <v>0</v>
      </c>
      <c r="O75" s="112"/>
      <c r="P75" s="112"/>
    </row>
    <row r="76" spans="1:16" ht="18" customHeight="1">
      <c r="A76" s="137" t="s">
        <v>314</v>
      </c>
      <c r="B76" s="138"/>
      <c r="C76" s="138"/>
      <c r="D76" s="138"/>
      <c r="E76" s="138"/>
      <c r="F76" s="138"/>
      <c r="G76" s="138"/>
      <c r="H76" s="138"/>
      <c r="I76" s="138"/>
      <c r="J76" s="138"/>
      <c r="K76" s="138"/>
      <c r="L76" s="138"/>
      <c r="M76" s="138"/>
      <c r="N76" s="103"/>
      <c r="O76" s="112"/>
      <c r="P76" s="112"/>
    </row>
    <row r="77" spans="1:16" ht="19.5" customHeight="1">
      <c r="A77" s="17">
        <v>42</v>
      </c>
      <c r="B77" s="18" t="s">
        <v>3</v>
      </c>
      <c r="C77" s="19" t="s">
        <v>35</v>
      </c>
      <c r="D77" s="20" t="s">
        <v>36</v>
      </c>
      <c r="E77" s="91"/>
      <c r="F77" s="91">
        <v>1</v>
      </c>
      <c r="G77" s="35">
        <f>(246.18*E77*F77)/10</f>
        <v>0</v>
      </c>
      <c r="H77" s="35">
        <f>(0*E77*F77)/10</f>
        <v>0</v>
      </c>
      <c r="I77" s="35">
        <f>(E77*F77*0)/10</f>
        <v>0</v>
      </c>
      <c r="J77" s="35">
        <f>(33.31*E77*F77)/10</f>
        <v>0</v>
      </c>
      <c r="K77" s="22">
        <f>((G77+I77)*$K$12)</f>
        <v>0</v>
      </c>
      <c r="L77" s="22">
        <f>(SUM(G77:K77)*$L$12)</f>
        <v>0</v>
      </c>
      <c r="M77" s="22">
        <f>(SUM(G77:L77)*$M$12)</f>
        <v>0</v>
      </c>
      <c r="N77" s="102">
        <f>ROUND(G77+H77+J77+K77+L77+M77,2)</f>
        <v>0</v>
      </c>
      <c r="O77" s="112"/>
      <c r="P77" s="112"/>
    </row>
    <row r="78" spans="1:16" ht="27.75" customHeight="1">
      <c r="A78" s="17">
        <v>43</v>
      </c>
      <c r="B78" s="18" t="s">
        <v>41</v>
      </c>
      <c r="C78" s="19" t="s">
        <v>77</v>
      </c>
      <c r="D78" s="20" t="s">
        <v>36</v>
      </c>
      <c r="E78" s="91"/>
      <c r="F78" s="91">
        <v>1</v>
      </c>
      <c r="G78" s="35">
        <f>(248.64*E78*F78)/10</f>
        <v>0</v>
      </c>
      <c r="H78" s="35">
        <f>(0*E78*F78)/10</f>
        <v>0</v>
      </c>
      <c r="I78" s="35">
        <f>(E78*F78*0)/10</f>
        <v>0</v>
      </c>
      <c r="J78" s="35">
        <f>(33.31*E78*F78)/10</f>
        <v>0</v>
      </c>
      <c r="K78" s="22">
        <f>((G78+I78)*$K$12)</f>
        <v>0</v>
      </c>
      <c r="L78" s="22">
        <f>(SUM(G78:K78)*$L$12)</f>
        <v>0</v>
      </c>
      <c r="M78" s="22">
        <f>(SUM(G78:L78)*$M$12)</f>
        <v>0</v>
      </c>
      <c r="N78" s="102">
        <f>ROUND(G78+H78+J78+K78+L78+M78,2)</f>
        <v>0</v>
      </c>
      <c r="O78" s="112"/>
      <c r="P78" s="112"/>
    </row>
    <row r="79" spans="1:16" ht="18" customHeight="1">
      <c r="A79" s="137" t="s">
        <v>70</v>
      </c>
      <c r="B79" s="138"/>
      <c r="C79" s="138"/>
      <c r="D79" s="138"/>
      <c r="E79" s="138"/>
      <c r="F79" s="138"/>
      <c r="G79" s="138"/>
      <c r="H79" s="138"/>
      <c r="I79" s="138"/>
      <c r="J79" s="138"/>
      <c r="K79" s="138"/>
      <c r="L79" s="138"/>
      <c r="M79" s="138"/>
      <c r="N79" s="103"/>
      <c r="O79" s="112"/>
      <c r="P79" s="112"/>
    </row>
    <row r="80" spans="1:16" ht="49.5" customHeight="1">
      <c r="A80" s="17">
        <v>44</v>
      </c>
      <c r="B80" s="18" t="s">
        <v>56</v>
      </c>
      <c r="C80" s="19" t="s">
        <v>71</v>
      </c>
      <c r="D80" s="20" t="s">
        <v>155</v>
      </c>
      <c r="E80" s="91"/>
      <c r="F80" s="91">
        <v>1</v>
      </c>
      <c r="G80" s="35">
        <f>(264.43*E80*F80)/100</f>
        <v>0</v>
      </c>
      <c r="H80" s="35">
        <f>(0*E80*F80)/100</f>
        <v>0</v>
      </c>
      <c r="I80" s="35">
        <f>(E80*F80*0)/100</f>
        <v>0</v>
      </c>
      <c r="J80" s="35">
        <f>(1.58*E80*F80)/100</f>
        <v>0</v>
      </c>
      <c r="K80" s="22">
        <f>((G80+I80)*$K$12)</f>
        <v>0</v>
      </c>
      <c r="L80" s="22">
        <f>(SUM(G80:K80)*$L$12)</f>
        <v>0</v>
      </c>
      <c r="M80" s="22">
        <f>(SUM(G80:L80)*$M$12)</f>
        <v>0</v>
      </c>
      <c r="N80" s="102">
        <f>ROUND(G80+H80+J80+K80+L80+M80,2)</f>
        <v>0</v>
      </c>
      <c r="O80" s="112"/>
      <c r="P80" s="112"/>
    </row>
    <row r="81" spans="1:16" ht="49.5" customHeight="1">
      <c r="A81" s="17">
        <v>45</v>
      </c>
      <c r="B81" s="18" t="s">
        <v>57</v>
      </c>
      <c r="C81" s="19" t="s">
        <v>72</v>
      </c>
      <c r="D81" s="20" t="s">
        <v>155</v>
      </c>
      <c r="E81" s="91"/>
      <c r="F81" s="91">
        <v>1</v>
      </c>
      <c r="G81" s="35">
        <f>(267.07*E81*F81)/100</f>
        <v>0</v>
      </c>
      <c r="H81" s="35">
        <f>(0*E81*F81)/100</f>
        <v>0</v>
      </c>
      <c r="I81" s="35">
        <f>(E81*F81*0)/100</f>
        <v>0</v>
      </c>
      <c r="J81" s="35">
        <f>(1.58*E81*F81)/100</f>
        <v>0</v>
      </c>
      <c r="K81" s="22">
        <f>((G81+I81)*$K$12)</f>
        <v>0</v>
      </c>
      <c r="L81" s="22">
        <f>(SUM(G81:K81)*$L$12)</f>
        <v>0</v>
      </c>
      <c r="M81" s="22">
        <f>(SUM(G81:L81)*$M$12)</f>
        <v>0</v>
      </c>
      <c r="N81" s="102">
        <f>ROUND(G81+H81+J81+K81+L81+M81,2)</f>
        <v>0</v>
      </c>
      <c r="O81" s="112"/>
      <c r="P81" s="112"/>
    </row>
    <row r="82" spans="1:16" ht="18" customHeight="1">
      <c r="A82" s="137" t="s">
        <v>259</v>
      </c>
      <c r="B82" s="138"/>
      <c r="C82" s="138"/>
      <c r="D82" s="138"/>
      <c r="E82" s="138"/>
      <c r="F82" s="138"/>
      <c r="G82" s="138"/>
      <c r="H82" s="138"/>
      <c r="I82" s="138"/>
      <c r="J82" s="138"/>
      <c r="K82" s="138"/>
      <c r="L82" s="138"/>
      <c r="M82" s="138"/>
      <c r="N82" s="103"/>
      <c r="O82" s="112"/>
      <c r="P82" s="112"/>
    </row>
    <row r="83" spans="1:16" ht="36.75" customHeight="1">
      <c r="A83" s="17">
        <v>46</v>
      </c>
      <c r="B83" s="18" t="s">
        <v>58</v>
      </c>
      <c r="C83" s="19" t="s">
        <v>73</v>
      </c>
      <c r="D83" s="20" t="s">
        <v>154</v>
      </c>
      <c r="E83" s="91"/>
      <c r="F83" s="91">
        <v>1</v>
      </c>
      <c r="G83" s="35">
        <f>(2003.61*E83*F83)/100</f>
        <v>0</v>
      </c>
      <c r="H83" s="35">
        <f aca="true" t="shared" si="19" ref="H83:H88">(0*E83*F83)/100</f>
        <v>0</v>
      </c>
      <c r="I83" s="35">
        <f aca="true" t="shared" si="20" ref="I83:I88">(E83*F83*0)/100</f>
        <v>0</v>
      </c>
      <c r="J83" s="35">
        <f aca="true" t="shared" si="21" ref="J83:J88">(318.26*E83*F83)/100</f>
        <v>0</v>
      </c>
      <c r="K83" s="22">
        <f aca="true" t="shared" si="22" ref="K83:K88">((G83+I83)*$K$12)</f>
        <v>0</v>
      </c>
      <c r="L83" s="22">
        <f aca="true" t="shared" si="23" ref="L83:L88">(SUM(G83:K83)*$L$12)</f>
        <v>0</v>
      </c>
      <c r="M83" s="22">
        <f aca="true" t="shared" si="24" ref="M83:M88">(SUM(G83:L83)*$M$12)</f>
        <v>0</v>
      </c>
      <c r="N83" s="102">
        <f aca="true" t="shared" si="25" ref="N83:N88">ROUND(G83+H83+J83+K83+L83+M83,2)</f>
        <v>0</v>
      </c>
      <c r="O83" s="112"/>
      <c r="P83" s="112"/>
    </row>
    <row r="84" spans="1:16" ht="51.75" customHeight="1">
      <c r="A84" s="17">
        <v>47</v>
      </c>
      <c r="B84" s="18" t="s">
        <v>59</v>
      </c>
      <c r="C84" s="19" t="s">
        <v>74</v>
      </c>
      <c r="D84" s="20" t="s">
        <v>156</v>
      </c>
      <c r="E84" s="91"/>
      <c r="F84" s="91">
        <v>1</v>
      </c>
      <c r="G84" s="35">
        <f>(2786.72*E84*F84)/100</f>
        <v>0</v>
      </c>
      <c r="H84" s="35">
        <f t="shared" si="19"/>
        <v>0</v>
      </c>
      <c r="I84" s="35">
        <f t="shared" si="20"/>
        <v>0</v>
      </c>
      <c r="J84" s="35">
        <f t="shared" si="21"/>
        <v>0</v>
      </c>
      <c r="K84" s="22">
        <f t="shared" si="22"/>
        <v>0</v>
      </c>
      <c r="L84" s="22">
        <f t="shared" si="23"/>
        <v>0</v>
      </c>
      <c r="M84" s="22">
        <f t="shared" si="24"/>
        <v>0</v>
      </c>
      <c r="N84" s="102">
        <f t="shared" si="25"/>
        <v>0</v>
      </c>
      <c r="O84" s="112"/>
      <c r="P84" s="112"/>
    </row>
    <row r="85" spans="1:16" ht="36.75" customHeight="1">
      <c r="A85" s="17">
        <v>48</v>
      </c>
      <c r="B85" s="18"/>
      <c r="C85" s="19" t="s">
        <v>75</v>
      </c>
      <c r="D85" s="20" t="s">
        <v>156</v>
      </c>
      <c r="E85" s="91"/>
      <c r="F85" s="91">
        <v>1</v>
      </c>
      <c r="G85" s="35">
        <f>(916.41*E85*F85)/100</f>
        <v>0</v>
      </c>
      <c r="H85" s="35">
        <f t="shared" si="19"/>
        <v>0</v>
      </c>
      <c r="I85" s="35">
        <f t="shared" si="20"/>
        <v>0</v>
      </c>
      <c r="J85" s="35">
        <f t="shared" si="21"/>
        <v>0</v>
      </c>
      <c r="K85" s="22">
        <f t="shared" si="22"/>
        <v>0</v>
      </c>
      <c r="L85" s="23">
        <f t="shared" si="23"/>
        <v>0</v>
      </c>
      <c r="M85" s="22">
        <f t="shared" si="24"/>
        <v>0</v>
      </c>
      <c r="N85" s="102">
        <f t="shared" si="25"/>
        <v>0</v>
      </c>
      <c r="O85" s="112"/>
      <c r="P85" s="112"/>
    </row>
    <row r="86" spans="1:16" ht="53.25" customHeight="1">
      <c r="A86" s="17">
        <v>49</v>
      </c>
      <c r="B86" s="18"/>
      <c r="C86" s="19" t="s">
        <v>76</v>
      </c>
      <c r="D86" s="20" t="s">
        <v>156</v>
      </c>
      <c r="E86" s="91"/>
      <c r="F86" s="91">
        <v>1</v>
      </c>
      <c r="G86" s="35">
        <f>(2023.65*E86*F86)/100</f>
        <v>0</v>
      </c>
      <c r="H86" s="35">
        <f t="shared" si="19"/>
        <v>0</v>
      </c>
      <c r="I86" s="35">
        <f t="shared" si="20"/>
        <v>0</v>
      </c>
      <c r="J86" s="35">
        <f t="shared" si="21"/>
        <v>0</v>
      </c>
      <c r="K86" s="22">
        <f t="shared" si="22"/>
        <v>0</v>
      </c>
      <c r="L86" s="23">
        <f t="shared" si="23"/>
        <v>0</v>
      </c>
      <c r="M86" s="22">
        <f t="shared" si="24"/>
        <v>0</v>
      </c>
      <c r="N86" s="102">
        <f t="shared" si="25"/>
        <v>0</v>
      </c>
      <c r="O86" s="112"/>
      <c r="P86" s="112"/>
    </row>
    <row r="87" spans="1:16" ht="53.25" customHeight="1">
      <c r="A87" s="17">
        <v>50</v>
      </c>
      <c r="B87" s="18"/>
      <c r="C87" s="19" t="s">
        <v>42</v>
      </c>
      <c r="D87" s="20" t="s">
        <v>156</v>
      </c>
      <c r="E87" s="91"/>
      <c r="F87" s="91">
        <v>1</v>
      </c>
      <c r="G87" s="35">
        <f>(2814.59*E87*F87)/100</f>
        <v>0</v>
      </c>
      <c r="H87" s="35">
        <f t="shared" si="19"/>
        <v>0</v>
      </c>
      <c r="I87" s="35">
        <f t="shared" si="20"/>
        <v>0</v>
      </c>
      <c r="J87" s="35">
        <f t="shared" si="21"/>
        <v>0</v>
      </c>
      <c r="K87" s="22">
        <f t="shared" si="22"/>
        <v>0</v>
      </c>
      <c r="L87" s="23">
        <f t="shared" si="23"/>
        <v>0</v>
      </c>
      <c r="M87" s="22">
        <f t="shared" si="24"/>
        <v>0</v>
      </c>
      <c r="N87" s="102">
        <f t="shared" si="25"/>
        <v>0</v>
      </c>
      <c r="O87" s="112"/>
      <c r="P87" s="112"/>
    </row>
    <row r="88" spans="1:16" ht="53.25" customHeight="1">
      <c r="A88" s="17">
        <v>51</v>
      </c>
      <c r="B88" s="18"/>
      <c r="C88" s="19" t="s">
        <v>260</v>
      </c>
      <c r="D88" s="20" t="s">
        <v>156</v>
      </c>
      <c r="E88" s="91"/>
      <c r="F88" s="91">
        <v>1</v>
      </c>
      <c r="G88" s="35">
        <f>(925.58*E88*F88)/100</f>
        <v>0</v>
      </c>
      <c r="H88" s="35">
        <f t="shared" si="19"/>
        <v>0</v>
      </c>
      <c r="I88" s="35">
        <f t="shared" si="20"/>
        <v>0</v>
      </c>
      <c r="J88" s="35">
        <f t="shared" si="21"/>
        <v>0</v>
      </c>
      <c r="K88" s="22">
        <f t="shared" si="22"/>
        <v>0</v>
      </c>
      <c r="L88" s="22">
        <f t="shared" si="23"/>
        <v>0</v>
      </c>
      <c r="M88" s="22">
        <f t="shared" si="24"/>
        <v>0</v>
      </c>
      <c r="N88" s="102">
        <f t="shared" si="25"/>
        <v>0</v>
      </c>
      <c r="O88" s="112"/>
      <c r="P88" s="112"/>
    </row>
    <row r="89" spans="1:16" ht="14.25" customHeight="1">
      <c r="A89" s="137" t="s">
        <v>315</v>
      </c>
      <c r="B89" s="138"/>
      <c r="C89" s="138"/>
      <c r="D89" s="138"/>
      <c r="E89" s="138"/>
      <c r="F89" s="138"/>
      <c r="G89" s="138"/>
      <c r="H89" s="138"/>
      <c r="I89" s="138"/>
      <c r="J89" s="138"/>
      <c r="K89" s="138"/>
      <c r="L89" s="138"/>
      <c r="M89" s="138"/>
      <c r="N89" s="103"/>
      <c r="O89" s="112"/>
      <c r="P89" s="112"/>
    </row>
    <row r="90" spans="1:16" ht="42" customHeight="1">
      <c r="A90" s="17">
        <v>52</v>
      </c>
      <c r="B90" s="18" t="s">
        <v>79</v>
      </c>
      <c r="C90" s="19" t="s">
        <v>80</v>
      </c>
      <c r="D90" s="20" t="s">
        <v>40</v>
      </c>
      <c r="E90" s="91"/>
      <c r="F90" s="91">
        <v>1</v>
      </c>
      <c r="G90" s="35">
        <f>(857.26*E90*F90)/100</f>
        <v>0</v>
      </c>
      <c r="H90" s="35">
        <f>(0*E90*F90)/100</f>
        <v>0</v>
      </c>
      <c r="I90" s="35">
        <f>(E90*F90*0)/100</f>
        <v>0</v>
      </c>
      <c r="J90" s="35">
        <f>(774.55*E90*F90)/100</f>
        <v>0</v>
      </c>
      <c r="K90" s="22">
        <f>((G90+I90)*$K$12)</f>
        <v>0</v>
      </c>
      <c r="L90" s="22">
        <f>(SUM(G90:K90)*$L$12)</f>
        <v>0</v>
      </c>
      <c r="M90" s="22">
        <f>(SUM(G90:L90)*$M$12)</f>
        <v>0</v>
      </c>
      <c r="N90" s="102">
        <f>ROUND(G90+H90+J90+K90+L90+M90,2)</f>
        <v>0</v>
      </c>
      <c r="O90" s="112"/>
      <c r="P90" s="112"/>
    </row>
    <row r="91" spans="1:16" ht="42.75" customHeight="1">
      <c r="A91" s="17">
        <v>53</v>
      </c>
      <c r="B91" s="18" t="s">
        <v>43</v>
      </c>
      <c r="C91" s="19" t="s">
        <v>39</v>
      </c>
      <c r="D91" s="20" t="s">
        <v>40</v>
      </c>
      <c r="E91" s="91"/>
      <c r="F91" s="91">
        <v>1</v>
      </c>
      <c r="G91" s="35">
        <f>(449.87*E91*F91)/100</f>
        <v>0</v>
      </c>
      <c r="H91" s="35">
        <f>(0*E91*F91)/100</f>
        <v>0</v>
      </c>
      <c r="I91" s="35">
        <f>(E91*F91*0)/100</f>
        <v>0</v>
      </c>
      <c r="J91" s="35">
        <f>(774.55*E91*F91)/100</f>
        <v>0</v>
      </c>
      <c r="K91" s="22">
        <f>((G91+I91)*$K$12)</f>
        <v>0</v>
      </c>
      <c r="L91" s="22">
        <f>(SUM(G91:K91)*$L$12)</f>
        <v>0</v>
      </c>
      <c r="M91" s="22">
        <f>(SUM(G91:L91)*$M$12)</f>
        <v>0</v>
      </c>
      <c r="N91" s="102">
        <f>ROUND(G91+H91+J91+K91+L91+M91,2)</f>
        <v>0</v>
      </c>
      <c r="O91" s="112"/>
      <c r="P91" s="112"/>
    </row>
    <row r="92" spans="1:16" ht="12" customHeight="1">
      <c r="A92" s="17"/>
      <c r="B92" s="18"/>
      <c r="C92" s="19"/>
      <c r="D92" s="20"/>
      <c r="E92" s="91"/>
      <c r="F92" s="91"/>
      <c r="G92" s="35"/>
      <c r="H92" s="35"/>
      <c r="I92" s="35"/>
      <c r="J92" s="35"/>
      <c r="K92" s="22"/>
      <c r="L92" s="23"/>
      <c r="M92" s="22"/>
      <c r="N92" s="102"/>
      <c r="O92" s="112"/>
      <c r="P92" s="112"/>
    </row>
    <row r="93" spans="1:16" ht="36.75" customHeight="1">
      <c r="A93" s="17">
        <v>54</v>
      </c>
      <c r="B93" s="18" t="s">
        <v>3</v>
      </c>
      <c r="C93" s="19" t="s">
        <v>184</v>
      </c>
      <c r="D93" s="20" t="s">
        <v>100</v>
      </c>
      <c r="E93" s="91"/>
      <c r="F93" s="91">
        <v>1</v>
      </c>
      <c r="G93" s="35">
        <f>(493.9*E93*F93)/100</f>
        <v>0</v>
      </c>
      <c r="H93" s="35">
        <f>(0*E93*F93)/100</f>
        <v>0</v>
      </c>
      <c r="I93" s="35">
        <f>(E93*F93*0)/100</f>
        <v>0</v>
      </c>
      <c r="J93" s="35">
        <f>(2631.12*E93*F93)/100</f>
        <v>0</v>
      </c>
      <c r="K93" s="22">
        <f>((G93+I93)*$K$12)</f>
        <v>0</v>
      </c>
      <c r="L93" s="22">
        <f>(SUM(G93:K93)*$L$12)</f>
        <v>0</v>
      </c>
      <c r="M93" s="22">
        <f>(SUM(G93:L93)*$M$12)</f>
        <v>0</v>
      </c>
      <c r="N93" s="102">
        <f>ROUND(G93+H93+J93+K93+L93+M93,2)</f>
        <v>0</v>
      </c>
      <c r="O93" s="112"/>
      <c r="P93" s="112"/>
    </row>
    <row r="94" spans="1:16" ht="18" customHeight="1">
      <c r="A94" s="17">
        <v>55</v>
      </c>
      <c r="B94" s="18"/>
      <c r="C94" s="19" t="s">
        <v>316</v>
      </c>
      <c r="D94" s="20" t="s">
        <v>152</v>
      </c>
      <c r="E94" s="91"/>
      <c r="F94" s="91">
        <v>1</v>
      </c>
      <c r="G94" s="35">
        <f>(576.38*E94*F94)/100</f>
        <v>0</v>
      </c>
      <c r="H94" s="35">
        <f>(0*E94*F94)/100</f>
        <v>0</v>
      </c>
      <c r="I94" s="35">
        <f>(E94*F94*0)/100</f>
        <v>0</v>
      </c>
      <c r="J94" s="35">
        <f>(41.4*E94*F94)/100</f>
        <v>0</v>
      </c>
      <c r="K94" s="22">
        <f>((G94+I94)*$K$12)</f>
        <v>0</v>
      </c>
      <c r="L94" s="23">
        <f>(SUM(G94:K94)*$L$12)</f>
        <v>0</v>
      </c>
      <c r="M94" s="22">
        <f>(SUM(G94:L94)*$M$12)</f>
        <v>0</v>
      </c>
      <c r="N94" s="102">
        <f>ROUND(G94+H94+J94+K94+L94+M94,2)</f>
        <v>0</v>
      </c>
      <c r="O94" s="112"/>
      <c r="P94" s="112"/>
    </row>
    <row r="95" spans="1:16" s="30" customFormat="1" ht="18" customHeight="1">
      <c r="A95" s="25"/>
      <c r="B95" s="26"/>
      <c r="C95" s="27" t="s">
        <v>164</v>
      </c>
      <c r="D95" s="28"/>
      <c r="E95" s="40"/>
      <c r="F95" s="41"/>
      <c r="G95" s="29">
        <f aca="true" t="shared" si="26" ref="G95:M95">SUM(G59:G94)</f>
        <v>0</v>
      </c>
      <c r="H95" s="29">
        <f t="shared" si="26"/>
        <v>0</v>
      </c>
      <c r="I95" s="29">
        <f t="shared" si="26"/>
        <v>0</v>
      </c>
      <c r="J95" s="29">
        <f t="shared" si="26"/>
        <v>0</v>
      </c>
      <c r="K95" s="29">
        <f t="shared" si="26"/>
        <v>0</v>
      </c>
      <c r="L95" s="29">
        <f t="shared" si="26"/>
        <v>0</v>
      </c>
      <c r="M95" s="29">
        <f t="shared" si="26"/>
        <v>0</v>
      </c>
      <c r="N95" s="102">
        <f>SUM(N59:N94)</f>
        <v>0</v>
      </c>
      <c r="O95" s="139"/>
      <c r="P95" s="139"/>
    </row>
    <row r="96" spans="1:16" ht="18.75" customHeight="1">
      <c r="A96" s="132" t="s">
        <v>261</v>
      </c>
      <c r="B96" s="133"/>
      <c r="C96" s="133"/>
      <c r="D96" s="133"/>
      <c r="E96" s="133"/>
      <c r="F96" s="133"/>
      <c r="G96" s="133"/>
      <c r="H96" s="133"/>
      <c r="I96" s="133"/>
      <c r="J96" s="133"/>
      <c r="K96" s="133"/>
      <c r="L96" s="133"/>
      <c r="M96" s="133"/>
      <c r="N96" s="103"/>
      <c r="O96" s="112"/>
      <c r="P96" s="112"/>
    </row>
    <row r="97" spans="1:16" ht="36.75" customHeight="1">
      <c r="A97" s="17">
        <v>56</v>
      </c>
      <c r="B97" s="18"/>
      <c r="C97" s="19" t="s">
        <v>81</v>
      </c>
      <c r="D97" s="20" t="s">
        <v>153</v>
      </c>
      <c r="E97" s="91"/>
      <c r="F97" s="91">
        <v>1</v>
      </c>
      <c r="G97" s="35">
        <f>(1102.2*E97*F97)/1000</f>
        <v>0</v>
      </c>
      <c r="H97" s="35">
        <f>(0*E97*F97)/1000</f>
        <v>0</v>
      </c>
      <c r="I97" s="35">
        <f>(E97*F97*0)/1000</f>
        <v>0</v>
      </c>
      <c r="J97" s="35">
        <f>(0*E97*F97)/1000</f>
        <v>0</v>
      </c>
      <c r="K97" s="22">
        <f>((G97+I97)*$K$12)</f>
        <v>0</v>
      </c>
      <c r="L97" s="23">
        <f>(SUM(G97:K97)*$L$12)</f>
        <v>0</v>
      </c>
      <c r="M97" s="22">
        <f>(SUM(G97:L97)*$M$12)</f>
        <v>0</v>
      </c>
      <c r="N97" s="102">
        <f>ROUND(G97+H97+J97+K97+L97+M97,2)</f>
        <v>0</v>
      </c>
      <c r="O97" s="112"/>
      <c r="P97" s="112"/>
    </row>
    <row r="98" spans="1:16" ht="36.75" customHeight="1">
      <c r="A98" s="17">
        <v>57</v>
      </c>
      <c r="B98" s="18"/>
      <c r="C98" s="19" t="s">
        <v>82</v>
      </c>
      <c r="D98" s="20" t="s">
        <v>153</v>
      </c>
      <c r="E98" s="91"/>
      <c r="F98" s="91">
        <v>1</v>
      </c>
      <c r="G98" s="35">
        <f>(1102.2*E98*F98)/1000</f>
        <v>0</v>
      </c>
      <c r="H98" s="35">
        <f>(0*E98*F98)/1000</f>
        <v>0</v>
      </c>
      <c r="I98" s="35">
        <f>(E98*F98*0)/1000</f>
        <v>0</v>
      </c>
      <c r="J98" s="35">
        <f>(0*E98*F98)/1000</f>
        <v>0</v>
      </c>
      <c r="K98" s="22">
        <f>((G98+I98)*$K$12)</f>
        <v>0</v>
      </c>
      <c r="L98" s="23">
        <f>(SUM(G98:K98)*$L$12)</f>
        <v>0</v>
      </c>
      <c r="M98" s="22">
        <f>(SUM(G98:L98)*$M$12)</f>
        <v>0</v>
      </c>
      <c r="N98" s="102">
        <f>ROUND(G98+H98+J98+K98+L98+M98,2)</f>
        <v>0</v>
      </c>
      <c r="O98" s="112"/>
      <c r="P98" s="112"/>
    </row>
    <row r="99" spans="1:16" ht="111" customHeight="1">
      <c r="A99" s="17">
        <v>58</v>
      </c>
      <c r="B99" s="18"/>
      <c r="C99" s="19" t="s">
        <v>262</v>
      </c>
      <c r="D99" s="20" t="s">
        <v>263</v>
      </c>
      <c r="E99" s="91"/>
      <c r="F99" s="91"/>
      <c r="G99" s="35"/>
      <c r="H99" s="35"/>
      <c r="I99" s="35"/>
      <c r="J99" s="35"/>
      <c r="K99" s="35"/>
      <c r="L99" s="35"/>
      <c r="M99" s="22"/>
      <c r="N99" s="102">
        <v>0</v>
      </c>
      <c r="O99" s="112"/>
      <c r="P99" s="112"/>
    </row>
    <row r="100" spans="1:16" s="30" customFormat="1" ht="18" customHeight="1">
      <c r="A100" s="25"/>
      <c r="B100" s="26"/>
      <c r="C100" s="27" t="s">
        <v>164</v>
      </c>
      <c r="D100" s="28"/>
      <c r="E100" s="40"/>
      <c r="F100" s="41"/>
      <c r="G100" s="29">
        <f aca="true" t="shared" si="27" ref="G100:M100">SUM(G97:G99)</f>
        <v>0</v>
      </c>
      <c r="H100" s="29">
        <f t="shared" si="27"/>
        <v>0</v>
      </c>
      <c r="I100" s="29">
        <f t="shared" si="27"/>
        <v>0</v>
      </c>
      <c r="J100" s="29">
        <f t="shared" si="27"/>
        <v>0</v>
      </c>
      <c r="K100" s="29">
        <f t="shared" si="27"/>
        <v>0</v>
      </c>
      <c r="L100" s="29">
        <f t="shared" si="27"/>
        <v>0</v>
      </c>
      <c r="M100" s="29">
        <f t="shared" si="27"/>
        <v>0</v>
      </c>
      <c r="N100" s="102">
        <f>SUM(N97:N99)</f>
        <v>0</v>
      </c>
      <c r="O100" s="139"/>
      <c r="P100" s="139"/>
    </row>
    <row r="101" spans="1:16" ht="18.75" customHeight="1">
      <c r="A101" s="132" t="s">
        <v>265</v>
      </c>
      <c r="B101" s="133"/>
      <c r="C101" s="133"/>
      <c r="D101" s="133"/>
      <c r="E101" s="133"/>
      <c r="F101" s="133"/>
      <c r="G101" s="133"/>
      <c r="H101" s="133"/>
      <c r="I101" s="133"/>
      <c r="J101" s="133"/>
      <c r="K101" s="133"/>
      <c r="L101" s="133"/>
      <c r="M101" s="133"/>
      <c r="N101" s="103"/>
      <c r="O101" s="112"/>
      <c r="P101" s="112"/>
    </row>
    <row r="102" spans="1:16" ht="30.75" customHeight="1">
      <c r="A102" s="17">
        <v>59</v>
      </c>
      <c r="B102" s="18"/>
      <c r="C102" s="19" t="s">
        <v>264</v>
      </c>
      <c r="D102" s="20" t="s">
        <v>181</v>
      </c>
      <c r="E102" s="91"/>
      <c r="F102" s="91"/>
      <c r="G102" s="35"/>
      <c r="H102" s="35"/>
      <c r="I102" s="35"/>
      <c r="J102" s="35"/>
      <c r="K102" s="35"/>
      <c r="L102" s="35"/>
      <c r="M102" s="22"/>
      <c r="N102" s="102">
        <v>0</v>
      </c>
      <c r="O102" s="112"/>
      <c r="P102" s="112"/>
    </row>
    <row r="103" spans="1:16" ht="18.75" customHeight="1">
      <c r="A103" s="132" t="s">
        <v>317</v>
      </c>
      <c r="B103" s="133"/>
      <c r="C103" s="133"/>
      <c r="D103" s="133"/>
      <c r="E103" s="133"/>
      <c r="F103" s="133"/>
      <c r="G103" s="133"/>
      <c r="H103" s="133"/>
      <c r="I103" s="133"/>
      <c r="J103" s="133"/>
      <c r="K103" s="133"/>
      <c r="L103" s="133"/>
      <c r="M103" s="133"/>
      <c r="N103" s="103"/>
      <c r="O103" s="112"/>
      <c r="P103" s="112"/>
    </row>
    <row r="104" spans="1:16" ht="17.25" customHeight="1">
      <c r="A104" s="17">
        <v>60</v>
      </c>
      <c r="B104" s="18"/>
      <c r="C104" s="19" t="s">
        <v>83</v>
      </c>
      <c r="D104" s="99" t="s">
        <v>84</v>
      </c>
      <c r="E104" s="91"/>
      <c r="F104" s="91">
        <v>1</v>
      </c>
      <c r="G104" s="100">
        <f>(2175.46*E104*F104)</f>
        <v>0</v>
      </c>
      <c r="H104" s="35">
        <f>(0*E104*F104)</f>
        <v>0</v>
      </c>
      <c r="I104" s="35">
        <f>(E104*F104*0)</f>
        <v>0</v>
      </c>
      <c r="J104" s="35">
        <f>(0*E104*F104)</f>
        <v>0</v>
      </c>
      <c r="K104" s="22">
        <f>((G104+I104)*$K$12)</f>
        <v>0</v>
      </c>
      <c r="L104" s="22">
        <f>(SUM(G104:K104)*$L$12)</f>
        <v>0</v>
      </c>
      <c r="M104" s="22">
        <f>(SUM(G104:L104)*$M$12)</f>
        <v>0</v>
      </c>
      <c r="N104" s="102">
        <f>ROUND(G104+H104+J104+K104+L104+M104,2)</f>
        <v>0</v>
      </c>
      <c r="O104" s="112"/>
      <c r="P104" s="112"/>
    </row>
    <row r="105" spans="1:16" ht="17.25" customHeight="1">
      <c r="A105" s="17">
        <v>61</v>
      </c>
      <c r="B105" s="18"/>
      <c r="C105" s="19" t="s">
        <v>85</v>
      </c>
      <c r="D105" s="20" t="s">
        <v>87</v>
      </c>
      <c r="E105" s="91"/>
      <c r="F105" s="91">
        <v>1</v>
      </c>
      <c r="G105" s="35">
        <f>(432.99*E105*F105)</f>
        <v>0</v>
      </c>
      <c r="H105" s="35">
        <f>(0*E105*F105)</f>
        <v>0</v>
      </c>
      <c r="I105" s="35">
        <f>(E105*F105*0)</f>
        <v>0</v>
      </c>
      <c r="J105" s="35">
        <f>(0*E105*F105)</f>
        <v>0</v>
      </c>
      <c r="K105" s="22">
        <f>((G105+I105)*$K$12)</f>
        <v>0</v>
      </c>
      <c r="L105" s="22">
        <f>(SUM(G105:K105)*$L$12)</f>
        <v>0</v>
      </c>
      <c r="M105" s="22">
        <f>(SUM(G105:L105)*$M$12)</f>
        <v>0</v>
      </c>
      <c r="N105" s="102">
        <f>ROUND(G105+H105+J105+K105+L105+M105,2)</f>
        <v>0</v>
      </c>
      <c r="O105" s="112"/>
      <c r="P105" s="112"/>
    </row>
    <row r="106" spans="1:16" ht="17.25" customHeight="1">
      <c r="A106" s="17">
        <v>62</v>
      </c>
      <c r="B106" s="18"/>
      <c r="C106" s="19" t="s">
        <v>86</v>
      </c>
      <c r="D106" s="20" t="s">
        <v>87</v>
      </c>
      <c r="E106" s="91"/>
      <c r="F106" s="91">
        <v>1</v>
      </c>
      <c r="G106" s="35">
        <f>(629.81*E106*F106)</f>
        <v>0</v>
      </c>
      <c r="H106" s="35">
        <f>(0*E106*F106)</f>
        <v>0</v>
      </c>
      <c r="I106" s="35">
        <f>(E106*F106*0)</f>
        <v>0</v>
      </c>
      <c r="J106" s="35">
        <f>(0*E106*F106)</f>
        <v>0</v>
      </c>
      <c r="K106" s="22">
        <f>((G106+I106)*$K$12)</f>
        <v>0</v>
      </c>
      <c r="L106" s="22">
        <f>(SUM(G106:K106)*$L$12)</f>
        <v>0</v>
      </c>
      <c r="M106" s="22">
        <f>(SUM(G106:L106)*$M$12)</f>
        <v>0</v>
      </c>
      <c r="N106" s="102">
        <f>ROUND(G106+H106+J106+K106+L106+M106,2)</f>
        <v>0</v>
      </c>
      <c r="O106" s="112"/>
      <c r="P106" s="112"/>
    </row>
    <row r="107" spans="1:16" ht="17.25" customHeight="1">
      <c r="A107" s="17">
        <v>63</v>
      </c>
      <c r="B107" s="18"/>
      <c r="C107" s="19" t="s">
        <v>196</v>
      </c>
      <c r="D107" s="20" t="s">
        <v>197</v>
      </c>
      <c r="E107" s="91"/>
      <c r="F107" s="91">
        <v>1</v>
      </c>
      <c r="G107" s="35">
        <f>(145.71*E107*F107)</f>
        <v>0</v>
      </c>
      <c r="H107" s="35">
        <f>(0*E107*F107)</f>
        <v>0</v>
      </c>
      <c r="I107" s="35">
        <f>(E107*F107*0)</f>
        <v>0</v>
      </c>
      <c r="J107" s="35">
        <f>(0*E107*F107)</f>
        <v>0</v>
      </c>
      <c r="K107" s="22">
        <f>((G107+I107)*$K$12)</f>
        <v>0</v>
      </c>
      <c r="L107" s="22">
        <f>(SUM(G107:K107)*$L$12)</f>
        <v>0</v>
      </c>
      <c r="M107" s="22">
        <f>(SUM(G107:L107)*$M$12)</f>
        <v>0</v>
      </c>
      <c r="N107" s="102">
        <f>ROUND(G107+H107+J107+K107+L107+M107,2)</f>
        <v>0</v>
      </c>
      <c r="O107" s="112"/>
      <c r="P107" s="112"/>
    </row>
    <row r="108" spans="1:16" ht="17.25" customHeight="1">
      <c r="A108" s="17">
        <v>64</v>
      </c>
      <c r="B108" s="18"/>
      <c r="C108" s="19" t="s">
        <v>346</v>
      </c>
      <c r="D108" s="20" t="s">
        <v>181</v>
      </c>
      <c r="E108" s="91"/>
      <c r="F108" s="91"/>
      <c r="G108" s="35"/>
      <c r="H108" s="35"/>
      <c r="I108" s="35"/>
      <c r="J108" s="35"/>
      <c r="K108" s="22"/>
      <c r="L108" s="23"/>
      <c r="M108" s="22"/>
      <c r="N108" s="102">
        <v>0</v>
      </c>
      <c r="O108" s="112"/>
      <c r="P108" s="112"/>
    </row>
    <row r="109" spans="1:16" ht="17.25" customHeight="1">
      <c r="A109" s="17">
        <v>65</v>
      </c>
      <c r="B109" s="18"/>
      <c r="C109" s="19" t="s">
        <v>347</v>
      </c>
      <c r="D109" s="20" t="s">
        <v>181</v>
      </c>
      <c r="E109" s="91"/>
      <c r="F109" s="91"/>
      <c r="G109" s="35"/>
      <c r="H109" s="35"/>
      <c r="I109" s="35"/>
      <c r="J109" s="35"/>
      <c r="K109" s="22"/>
      <c r="L109" s="23"/>
      <c r="M109" s="22"/>
      <c r="N109" s="102">
        <v>0</v>
      </c>
      <c r="O109" s="112"/>
      <c r="P109" s="112"/>
    </row>
    <row r="110" spans="1:16" s="30" customFormat="1" ht="18" customHeight="1">
      <c r="A110" s="25"/>
      <c r="B110" s="26"/>
      <c r="C110" s="27" t="s">
        <v>164</v>
      </c>
      <c r="D110" s="28"/>
      <c r="E110" s="40"/>
      <c r="F110" s="41"/>
      <c r="G110" s="29">
        <f aca="true" t="shared" si="28" ref="G110:L110">SUM(G104:G109)</f>
        <v>0</v>
      </c>
      <c r="H110" s="29">
        <f t="shared" si="28"/>
        <v>0</v>
      </c>
      <c r="I110" s="29">
        <f t="shared" si="28"/>
        <v>0</v>
      </c>
      <c r="J110" s="29">
        <f t="shared" si="28"/>
        <v>0</v>
      </c>
      <c r="K110" s="29">
        <f t="shared" si="28"/>
        <v>0</v>
      </c>
      <c r="L110" s="29">
        <f t="shared" si="28"/>
        <v>0</v>
      </c>
      <c r="M110" s="29">
        <f>SUM(M104:M109)</f>
        <v>0</v>
      </c>
      <c r="N110" s="102">
        <f>SUM(N104:N109)</f>
        <v>0</v>
      </c>
      <c r="O110" s="139"/>
      <c r="P110" s="139"/>
    </row>
    <row r="111" spans="1:16" ht="29.25" customHeight="1">
      <c r="A111" s="132" t="s">
        <v>200</v>
      </c>
      <c r="B111" s="133"/>
      <c r="C111" s="133"/>
      <c r="D111" s="133"/>
      <c r="E111" s="133"/>
      <c r="F111" s="133"/>
      <c r="G111" s="133"/>
      <c r="H111" s="133"/>
      <c r="I111" s="133"/>
      <c r="J111" s="133"/>
      <c r="K111" s="133"/>
      <c r="L111" s="133"/>
      <c r="M111" s="133"/>
      <c r="N111" s="103"/>
      <c r="O111" s="112"/>
      <c r="P111" s="112"/>
    </row>
    <row r="112" spans="1:16" ht="29.25" customHeight="1">
      <c r="A112" s="17">
        <v>66</v>
      </c>
      <c r="B112" s="53"/>
      <c r="C112" s="93" t="s">
        <v>186</v>
      </c>
      <c r="D112" s="20" t="s">
        <v>187</v>
      </c>
      <c r="E112" s="91"/>
      <c r="F112" s="91">
        <v>1</v>
      </c>
      <c r="G112" s="22">
        <f>(1099.68*E112*F112)/1000</f>
        <v>0</v>
      </c>
      <c r="H112" s="35">
        <f>(0*E112*F112)/1000</f>
        <v>0</v>
      </c>
      <c r="I112" s="35">
        <f>(E112*F112*0)/1000</f>
        <v>0</v>
      </c>
      <c r="J112" s="35">
        <f>(0*E112*F112)/1000</f>
        <v>0</v>
      </c>
      <c r="K112" s="22">
        <f aca="true" t="shared" si="29" ref="K112:K121">((G112+I112)*$K$12)</f>
        <v>0</v>
      </c>
      <c r="L112" s="23">
        <f aca="true" t="shared" si="30" ref="L112:L121">(SUM(G112:K112)*$L$12)</f>
        <v>0</v>
      </c>
      <c r="M112" s="22">
        <f aca="true" t="shared" si="31" ref="M112:M121">(SUM(G112:L112)*$M$12)</f>
        <v>0</v>
      </c>
      <c r="N112" s="102">
        <f aca="true" t="shared" si="32" ref="N112:N121">ROUND(G112+H112+J112+K112+L112+M112,2)</f>
        <v>0</v>
      </c>
      <c r="O112" s="112"/>
      <c r="P112" s="112"/>
    </row>
    <row r="113" spans="1:16" ht="50.25" customHeight="1">
      <c r="A113" s="17">
        <v>67</v>
      </c>
      <c r="B113" s="53"/>
      <c r="C113" s="94" t="s">
        <v>185</v>
      </c>
      <c r="D113" s="20" t="s">
        <v>188</v>
      </c>
      <c r="E113" s="91"/>
      <c r="F113" s="91">
        <v>1</v>
      </c>
      <c r="G113" s="22">
        <f>(1099.68*E113*F113)/1000</f>
        <v>0</v>
      </c>
      <c r="H113" s="35">
        <f>(0*E113*F113)/1000</f>
        <v>0</v>
      </c>
      <c r="I113" s="35">
        <f>(E113*F113*0)/1000</f>
        <v>0</v>
      </c>
      <c r="J113" s="35">
        <f>(0*E113*F113)/1000</f>
        <v>0</v>
      </c>
      <c r="K113" s="22">
        <f t="shared" si="29"/>
        <v>0</v>
      </c>
      <c r="L113" s="23">
        <f t="shared" si="30"/>
        <v>0</v>
      </c>
      <c r="M113" s="22">
        <f t="shared" si="31"/>
        <v>0</v>
      </c>
      <c r="N113" s="102">
        <f t="shared" si="32"/>
        <v>0</v>
      </c>
      <c r="O113" s="112"/>
      <c r="P113" s="112"/>
    </row>
    <row r="114" spans="1:16" ht="26.25" customHeight="1">
      <c r="A114" s="17">
        <f>A113+1</f>
        <v>68</v>
      </c>
      <c r="B114" s="53"/>
      <c r="C114" s="93" t="s">
        <v>90</v>
      </c>
      <c r="D114" s="20" t="s">
        <v>187</v>
      </c>
      <c r="E114" s="91"/>
      <c r="F114" s="91">
        <v>1</v>
      </c>
      <c r="G114" s="35">
        <f>(2749.2*E114*F114)/1000</f>
        <v>0</v>
      </c>
      <c r="H114" s="35">
        <f>(0*E114*F114)/1000</f>
        <v>0</v>
      </c>
      <c r="I114" s="35">
        <f>(E114*F114*0)/1000</f>
        <v>0</v>
      </c>
      <c r="J114" s="35">
        <f>(0*E114*F114)/1000</f>
        <v>0</v>
      </c>
      <c r="K114" s="22">
        <f t="shared" si="29"/>
        <v>0</v>
      </c>
      <c r="L114" s="23">
        <f t="shared" si="30"/>
        <v>0</v>
      </c>
      <c r="M114" s="22">
        <f t="shared" si="31"/>
        <v>0</v>
      </c>
      <c r="N114" s="102">
        <f t="shared" si="32"/>
        <v>0</v>
      </c>
      <c r="O114" s="112"/>
      <c r="P114" s="112"/>
    </row>
    <row r="115" spans="1:16" ht="29.25" customHeight="1">
      <c r="A115" s="17">
        <f aca="true" t="shared" si="33" ref="A115:A128">A114+1</f>
        <v>69</v>
      </c>
      <c r="B115" s="53"/>
      <c r="C115" s="94" t="s">
        <v>189</v>
      </c>
      <c r="D115" s="20" t="s">
        <v>190</v>
      </c>
      <c r="E115" s="91"/>
      <c r="F115" s="91">
        <v>1</v>
      </c>
      <c r="G115" s="35">
        <f>(16495.2*E115*F115)/100</f>
        <v>0</v>
      </c>
      <c r="H115" s="35">
        <f>(0*E115*F115)/100</f>
        <v>0</v>
      </c>
      <c r="I115" s="35">
        <f>(E115*F115*0)/100</f>
        <v>0</v>
      </c>
      <c r="J115" s="35">
        <f>(0*E115*F115)/100</f>
        <v>0</v>
      </c>
      <c r="K115" s="22">
        <f t="shared" si="29"/>
        <v>0</v>
      </c>
      <c r="L115" s="23">
        <f t="shared" si="30"/>
        <v>0</v>
      </c>
      <c r="M115" s="22">
        <f t="shared" si="31"/>
        <v>0</v>
      </c>
      <c r="N115" s="102">
        <f t="shared" si="32"/>
        <v>0</v>
      </c>
      <c r="O115" s="112"/>
      <c r="P115" s="112"/>
    </row>
    <row r="116" spans="1:16" ht="39" customHeight="1">
      <c r="A116" s="17">
        <f t="shared" si="33"/>
        <v>70</v>
      </c>
      <c r="B116" s="53"/>
      <c r="C116" s="94" t="s">
        <v>191</v>
      </c>
      <c r="D116" s="97" t="s">
        <v>266</v>
      </c>
      <c r="E116" s="91"/>
      <c r="F116" s="91">
        <v>1</v>
      </c>
      <c r="G116" s="35">
        <f>(16794.88*E116*F116)/100</f>
        <v>0</v>
      </c>
      <c r="H116" s="35">
        <f>(0*E116*F116)/100</f>
        <v>0</v>
      </c>
      <c r="I116" s="35">
        <f>(E116*F116*0)/100</f>
        <v>0</v>
      </c>
      <c r="J116" s="35">
        <f>(4663.28*E116*F116)/100</f>
        <v>0</v>
      </c>
      <c r="K116" s="22">
        <f t="shared" si="29"/>
        <v>0</v>
      </c>
      <c r="L116" s="22">
        <f t="shared" si="30"/>
        <v>0</v>
      </c>
      <c r="M116" s="22">
        <f t="shared" si="31"/>
        <v>0</v>
      </c>
      <c r="N116" s="102">
        <f t="shared" si="32"/>
        <v>0</v>
      </c>
      <c r="O116" s="112"/>
      <c r="P116" s="112"/>
    </row>
    <row r="117" spans="1:16" ht="39" customHeight="1">
      <c r="A117" s="17">
        <f t="shared" si="33"/>
        <v>71</v>
      </c>
      <c r="B117" s="53"/>
      <c r="C117" s="94" t="s">
        <v>192</v>
      </c>
      <c r="D117" s="98" t="s">
        <v>88</v>
      </c>
      <c r="E117" s="91"/>
      <c r="F117" s="91">
        <v>1</v>
      </c>
      <c r="G117" s="35">
        <f>(9524.73*E117*F117)/100</f>
        <v>0</v>
      </c>
      <c r="H117" s="35">
        <f>(0*E117*F117)/100</f>
        <v>0</v>
      </c>
      <c r="I117" s="35">
        <f>(E117*F117*0)/100</f>
        <v>0</v>
      </c>
      <c r="J117" s="35">
        <f>(1300.71*E117*F117)/100</f>
        <v>0</v>
      </c>
      <c r="K117" s="22">
        <f t="shared" si="29"/>
        <v>0</v>
      </c>
      <c r="L117" s="22">
        <f t="shared" si="30"/>
        <v>0</v>
      </c>
      <c r="M117" s="22">
        <f t="shared" si="31"/>
        <v>0</v>
      </c>
      <c r="N117" s="102">
        <f t="shared" si="32"/>
        <v>0</v>
      </c>
      <c r="O117" s="112"/>
      <c r="P117" s="112"/>
    </row>
    <row r="118" spans="1:16" ht="43.5" customHeight="1">
      <c r="A118" s="17">
        <f t="shared" si="33"/>
        <v>72</v>
      </c>
      <c r="B118" s="53"/>
      <c r="C118" s="94" t="s">
        <v>193</v>
      </c>
      <c r="D118" s="98" t="s">
        <v>194</v>
      </c>
      <c r="E118" s="91"/>
      <c r="F118" s="91">
        <v>1</v>
      </c>
      <c r="G118" s="35">
        <f>(7456.78*E118*F118)/100</f>
        <v>0</v>
      </c>
      <c r="H118" s="35">
        <f>(16.5*E118*F118)/100</f>
        <v>0</v>
      </c>
      <c r="I118" s="35">
        <f>(4.64*E118*F118)/100</f>
        <v>0</v>
      </c>
      <c r="J118" s="35">
        <f>(1264.69*E118*F118)/100</f>
        <v>0</v>
      </c>
      <c r="K118" s="22">
        <f>((G118+I118)*$K$12)</f>
        <v>0</v>
      </c>
      <c r="L118" s="22">
        <f>(SUM(G118+H118+K118+J118)*$L$12)</f>
        <v>0</v>
      </c>
      <c r="M118" s="22">
        <f>(SUM(G118+H118+J118+K118+L118)*$M$12)</f>
        <v>0</v>
      </c>
      <c r="N118" s="102">
        <f t="shared" si="32"/>
        <v>0</v>
      </c>
      <c r="O118" s="112"/>
      <c r="P118" s="112"/>
    </row>
    <row r="119" spans="1:16" ht="27" customHeight="1">
      <c r="A119" s="17">
        <f t="shared" si="33"/>
        <v>73</v>
      </c>
      <c r="B119" s="53"/>
      <c r="C119" s="94" t="s">
        <v>195</v>
      </c>
      <c r="D119" s="98" t="s">
        <v>267</v>
      </c>
      <c r="E119" s="91"/>
      <c r="F119" s="91">
        <v>1</v>
      </c>
      <c r="G119" s="35">
        <f>(2650.44*E119*F119)/100</f>
        <v>0</v>
      </c>
      <c r="H119" s="35">
        <f>(0*E119*F119)/100</f>
        <v>0</v>
      </c>
      <c r="I119" s="35">
        <f>(E119*F119*0)/100</f>
        <v>0</v>
      </c>
      <c r="J119" s="35">
        <f>(1300.71*E119*F119)/100</f>
        <v>0</v>
      </c>
      <c r="K119" s="22">
        <f t="shared" si="29"/>
        <v>0</v>
      </c>
      <c r="L119" s="22">
        <f t="shared" si="30"/>
        <v>0</v>
      </c>
      <c r="M119" s="22">
        <f t="shared" si="31"/>
        <v>0</v>
      </c>
      <c r="N119" s="102">
        <f t="shared" si="32"/>
        <v>0</v>
      </c>
      <c r="O119" s="112"/>
      <c r="P119" s="112"/>
    </row>
    <row r="120" spans="1:16" ht="36">
      <c r="A120" s="17">
        <f t="shared" si="33"/>
        <v>74</v>
      </c>
      <c r="B120" s="60"/>
      <c r="C120" s="19" t="s">
        <v>89</v>
      </c>
      <c r="D120" s="20" t="s">
        <v>157</v>
      </c>
      <c r="E120" s="91"/>
      <c r="F120" s="91">
        <v>1</v>
      </c>
      <c r="G120" s="35">
        <f>(1102.2*E120*F120)/1000</f>
        <v>0</v>
      </c>
      <c r="H120" s="35">
        <f>(0*E120*F120)/1000</f>
        <v>0</v>
      </c>
      <c r="I120" s="35">
        <f>(E120*F120*0)/1000</f>
        <v>0</v>
      </c>
      <c r="J120" s="35">
        <f>(0*E120*F120)/1000</f>
        <v>0</v>
      </c>
      <c r="K120" s="22">
        <f t="shared" si="29"/>
        <v>0</v>
      </c>
      <c r="L120" s="22">
        <f t="shared" si="30"/>
        <v>0</v>
      </c>
      <c r="M120" s="22">
        <f t="shared" si="31"/>
        <v>0</v>
      </c>
      <c r="N120" s="102">
        <f t="shared" si="32"/>
        <v>0</v>
      </c>
      <c r="O120" s="112"/>
      <c r="P120" s="112"/>
    </row>
    <row r="121" spans="1:16" ht="18.75">
      <c r="A121" s="17">
        <f t="shared" si="33"/>
        <v>75</v>
      </c>
      <c r="B121" s="60"/>
      <c r="C121" s="19" t="s">
        <v>196</v>
      </c>
      <c r="D121" s="20" t="s">
        <v>197</v>
      </c>
      <c r="E121" s="91"/>
      <c r="F121" s="91">
        <v>1</v>
      </c>
      <c r="G121" s="35">
        <f>(145.71*E121*F121)</f>
        <v>0</v>
      </c>
      <c r="H121" s="35">
        <f>(0*E121*F121)</f>
        <v>0</v>
      </c>
      <c r="I121" s="35">
        <f>(E121*F121*0)</f>
        <v>0</v>
      </c>
      <c r="J121" s="35">
        <f>(0*E121*F121)</f>
        <v>0</v>
      </c>
      <c r="K121" s="22">
        <f t="shared" si="29"/>
        <v>0</v>
      </c>
      <c r="L121" s="22">
        <f t="shared" si="30"/>
        <v>0</v>
      </c>
      <c r="M121" s="22">
        <f t="shared" si="31"/>
        <v>0</v>
      </c>
      <c r="N121" s="102">
        <f t="shared" si="32"/>
        <v>0</v>
      </c>
      <c r="O121" s="112"/>
      <c r="P121" s="112"/>
    </row>
    <row r="122" spans="1:16" ht="42.75" customHeight="1">
      <c r="A122" s="17">
        <f t="shared" si="33"/>
        <v>76</v>
      </c>
      <c r="B122" s="60"/>
      <c r="C122" s="19" t="s">
        <v>269</v>
      </c>
      <c r="D122" s="20" t="s">
        <v>268</v>
      </c>
      <c r="E122" s="91"/>
      <c r="F122" s="91"/>
      <c r="G122" s="35"/>
      <c r="H122" s="35"/>
      <c r="I122" s="35"/>
      <c r="J122" s="35"/>
      <c r="K122" s="35"/>
      <c r="L122" s="35"/>
      <c r="M122" s="22"/>
      <c r="N122" s="102">
        <v>0</v>
      </c>
      <c r="O122" s="112"/>
      <c r="P122" s="112"/>
    </row>
    <row r="123" spans="1:16" ht="24">
      <c r="A123" s="17">
        <f t="shared" si="33"/>
        <v>77</v>
      </c>
      <c r="B123" s="60"/>
      <c r="C123" s="19" t="s">
        <v>348</v>
      </c>
      <c r="D123" s="20" t="s">
        <v>181</v>
      </c>
      <c r="E123" s="91"/>
      <c r="F123" s="91"/>
      <c r="G123" s="35"/>
      <c r="H123" s="35"/>
      <c r="I123" s="35"/>
      <c r="J123" s="35"/>
      <c r="K123" s="35"/>
      <c r="L123" s="35"/>
      <c r="M123" s="22"/>
      <c r="N123" s="102">
        <v>0</v>
      </c>
      <c r="O123" s="112"/>
      <c r="P123" s="112"/>
    </row>
    <row r="124" spans="1:16" ht="39" customHeight="1">
      <c r="A124" s="17">
        <f t="shared" si="33"/>
        <v>78</v>
      </c>
      <c r="B124" s="60"/>
      <c r="C124" s="19" t="s">
        <v>270</v>
      </c>
      <c r="D124" s="20" t="s">
        <v>198</v>
      </c>
      <c r="E124" s="91"/>
      <c r="F124" s="91">
        <v>1</v>
      </c>
      <c r="G124" s="35">
        <f>(1049.29*E124*F124)</f>
        <v>0</v>
      </c>
      <c r="H124" s="35">
        <f>(0*E124*F124)</f>
        <v>0</v>
      </c>
      <c r="I124" s="35">
        <f>(E124*F124*0)</f>
        <v>0</v>
      </c>
      <c r="J124" s="35">
        <f>(61.08*E124*F124)</f>
        <v>0</v>
      </c>
      <c r="K124" s="22">
        <f>((G124+I124)*$K$12)</f>
        <v>0</v>
      </c>
      <c r="L124" s="22">
        <f>(SUM(G124:K124)*$L$12)</f>
        <v>0</v>
      </c>
      <c r="M124" s="22">
        <f>(SUM(G124:L124)*$M$12)</f>
        <v>0</v>
      </c>
      <c r="N124" s="102">
        <f>ROUND(G124+H124+J124+K124+L124+M124,2)</f>
        <v>0</v>
      </c>
      <c r="O124" s="112"/>
      <c r="P124" s="112"/>
    </row>
    <row r="125" spans="1:16" ht="18.75">
      <c r="A125" s="17">
        <f>A124+1</f>
        <v>79</v>
      </c>
      <c r="B125" s="60"/>
      <c r="C125" s="19" t="s">
        <v>336</v>
      </c>
      <c r="D125" s="20" t="s">
        <v>271</v>
      </c>
      <c r="E125" s="91"/>
      <c r="F125" s="91">
        <v>1</v>
      </c>
      <c r="G125" s="35">
        <f>((33.33+30.74)*E125*F125)/100</f>
        <v>0</v>
      </c>
      <c r="H125" s="35">
        <f>(0*E125*F125)/100</f>
        <v>0</v>
      </c>
      <c r="I125" s="35">
        <f>(E125*F125*0)/100</f>
        <v>0</v>
      </c>
      <c r="J125" s="35">
        <f>(0*E125*F125)/100</f>
        <v>0</v>
      </c>
      <c r="K125" s="22">
        <f>((G125+I125)*$K$12)</f>
        <v>0</v>
      </c>
      <c r="L125" s="22">
        <f>(SUM(G125:K125)*$L$12)</f>
        <v>0</v>
      </c>
      <c r="M125" s="22">
        <f>(SUM(G125:L125)*$M$12)</f>
        <v>0</v>
      </c>
      <c r="N125" s="102">
        <f>ROUND(G125+H125+J125+K125+L125+M125,2)</f>
        <v>0</v>
      </c>
      <c r="O125" s="112"/>
      <c r="P125" s="112"/>
    </row>
    <row r="126" spans="1:16" ht="18.75">
      <c r="A126" s="17">
        <f t="shared" si="33"/>
        <v>80</v>
      </c>
      <c r="B126" s="60"/>
      <c r="C126" s="19" t="s">
        <v>93</v>
      </c>
      <c r="D126" s="20" t="s">
        <v>272</v>
      </c>
      <c r="E126" s="91"/>
      <c r="F126" s="91">
        <v>1</v>
      </c>
      <c r="G126" s="35">
        <f>(1049.68*E126*F126)</f>
        <v>0</v>
      </c>
      <c r="H126" s="35">
        <f>(0*E126*F126)</f>
        <v>0</v>
      </c>
      <c r="I126" s="35">
        <f>(E126*F126*0)</f>
        <v>0</v>
      </c>
      <c r="J126" s="35">
        <f>(0*E126*F126)</f>
        <v>0</v>
      </c>
      <c r="K126" s="22">
        <f>((G126+I126)*$K$12)</f>
        <v>0</v>
      </c>
      <c r="L126" s="22">
        <f>(SUM(G126:K126)*$L$12)</f>
        <v>0</v>
      </c>
      <c r="M126" s="22">
        <f>(SUM(G126:L126)*$M$12)</f>
        <v>0</v>
      </c>
      <c r="N126" s="102">
        <f>ROUND(G126+H126+J126+K126+L126+M126,2)</f>
        <v>0</v>
      </c>
      <c r="O126" s="112"/>
      <c r="P126" s="112"/>
    </row>
    <row r="127" spans="1:16" ht="18.75">
      <c r="A127" s="17">
        <f t="shared" si="33"/>
        <v>81</v>
      </c>
      <c r="B127" s="60"/>
      <c r="C127" s="19" t="s">
        <v>91</v>
      </c>
      <c r="D127" s="20" t="s">
        <v>92</v>
      </c>
      <c r="E127" s="91"/>
      <c r="F127" s="91">
        <v>1</v>
      </c>
      <c r="G127" s="35">
        <f>(14695.52*E127*F127)/100</f>
        <v>0</v>
      </c>
      <c r="H127" s="35">
        <f>(0*E127*F127)/100</f>
        <v>0</v>
      </c>
      <c r="I127" s="35">
        <f>(E127*F127*0)/100</f>
        <v>0</v>
      </c>
      <c r="J127" s="35">
        <f>(0*E127*F127)/100</f>
        <v>0</v>
      </c>
      <c r="K127" s="22">
        <f>((G127+I127)*$K$12)</f>
        <v>0</v>
      </c>
      <c r="L127" s="22">
        <f>(SUM(G127:K127)*$L$12)</f>
        <v>0</v>
      </c>
      <c r="M127" s="22">
        <f>(SUM(G127:L127)*$M$12)</f>
        <v>0</v>
      </c>
      <c r="N127" s="102">
        <f>ROUND(G127+H127+J127+K127+L127+M127,2)</f>
        <v>0</v>
      </c>
      <c r="O127" s="112"/>
      <c r="P127" s="112"/>
    </row>
    <row r="128" spans="1:16" ht="41.25" customHeight="1">
      <c r="A128" s="17">
        <f t="shared" si="33"/>
        <v>82</v>
      </c>
      <c r="B128" s="60"/>
      <c r="C128" s="19" t="s">
        <v>319</v>
      </c>
      <c r="D128" s="20" t="s">
        <v>268</v>
      </c>
      <c r="E128" s="91"/>
      <c r="F128" s="91"/>
      <c r="G128" s="35"/>
      <c r="H128" s="35"/>
      <c r="I128" s="35"/>
      <c r="J128" s="35"/>
      <c r="K128" s="35"/>
      <c r="L128" s="35"/>
      <c r="M128" s="22"/>
      <c r="N128" s="102">
        <v>0</v>
      </c>
      <c r="O128" s="112"/>
      <c r="P128" s="112"/>
    </row>
    <row r="129" spans="1:16" s="30" customFormat="1" ht="18" customHeight="1">
      <c r="A129" s="25"/>
      <c r="B129" s="26"/>
      <c r="C129" s="27" t="s">
        <v>164</v>
      </c>
      <c r="D129" s="28"/>
      <c r="E129" s="40"/>
      <c r="F129" s="41"/>
      <c r="G129" s="29">
        <f aca="true" t="shared" si="34" ref="G129:N129">SUM(G112:G128)</f>
        <v>0</v>
      </c>
      <c r="H129" s="29">
        <f t="shared" si="34"/>
        <v>0</v>
      </c>
      <c r="I129" s="29">
        <f t="shared" si="34"/>
        <v>0</v>
      </c>
      <c r="J129" s="29">
        <f t="shared" si="34"/>
        <v>0</v>
      </c>
      <c r="K129" s="29">
        <f t="shared" si="34"/>
        <v>0</v>
      </c>
      <c r="L129" s="29">
        <f t="shared" si="34"/>
        <v>0</v>
      </c>
      <c r="M129" s="29">
        <f t="shared" si="34"/>
        <v>0</v>
      </c>
      <c r="N129" s="102">
        <f t="shared" si="34"/>
        <v>0</v>
      </c>
      <c r="O129" s="139"/>
      <c r="P129" s="139"/>
    </row>
    <row r="130" spans="1:16" ht="18.75" customHeight="1">
      <c r="A130" s="132" t="s">
        <v>199</v>
      </c>
      <c r="B130" s="133"/>
      <c r="C130" s="133"/>
      <c r="D130" s="133"/>
      <c r="E130" s="133"/>
      <c r="F130" s="133"/>
      <c r="G130" s="133"/>
      <c r="H130" s="133"/>
      <c r="I130" s="133"/>
      <c r="J130" s="133"/>
      <c r="K130" s="133"/>
      <c r="L130" s="133"/>
      <c r="M130" s="133"/>
      <c r="N130" s="103"/>
      <c r="O130" s="112"/>
      <c r="P130" s="112"/>
    </row>
    <row r="131" spans="1:16" ht="28.5" customHeight="1">
      <c r="A131" s="61">
        <v>83</v>
      </c>
      <c r="B131" s="60"/>
      <c r="C131" s="19" t="s">
        <v>201</v>
      </c>
      <c r="D131" s="20" t="s">
        <v>94</v>
      </c>
      <c r="E131" s="91"/>
      <c r="F131" s="91">
        <v>1</v>
      </c>
      <c r="G131" s="35">
        <f>(2474.28*E131*F131)/100</f>
        <v>0</v>
      </c>
      <c r="H131" s="35">
        <f>(0*E131*F131)/100</f>
        <v>0</v>
      </c>
      <c r="I131" s="35">
        <f>(E131*F131*0)/100</f>
        <v>0</v>
      </c>
      <c r="J131" s="35">
        <f>(0*E131*F131)/100</f>
        <v>0</v>
      </c>
      <c r="K131" s="22">
        <f>((G131+I131)*$K$12)</f>
        <v>0</v>
      </c>
      <c r="L131" s="22">
        <f>(SUM(G131:K131)*$L$12)</f>
        <v>0</v>
      </c>
      <c r="M131" s="22">
        <f>(SUM(G131:L131)*$M$12)</f>
        <v>0</v>
      </c>
      <c r="N131" s="102">
        <f>ROUND(G131+H131+J131+K131+L131+M131,2)</f>
        <v>0</v>
      </c>
      <c r="O131" s="112"/>
      <c r="P131" s="112"/>
    </row>
    <row r="132" spans="1:16" ht="37.5" customHeight="1">
      <c r="A132" s="61">
        <f>A131+1</f>
        <v>84</v>
      </c>
      <c r="B132" s="60"/>
      <c r="C132" s="19" t="s">
        <v>202</v>
      </c>
      <c r="D132" s="20" t="s">
        <v>188</v>
      </c>
      <c r="E132" s="91"/>
      <c r="F132" s="91">
        <v>1</v>
      </c>
      <c r="G132" s="35">
        <f>(549.8*E132*F132)/1000</f>
        <v>0</v>
      </c>
      <c r="H132" s="35">
        <f>(0*E132*F132)/1000</f>
        <v>0</v>
      </c>
      <c r="I132" s="35">
        <f>(E132*F132*0)/1000</f>
        <v>0</v>
      </c>
      <c r="J132" s="35">
        <f>(0*E132*F132)/1000</f>
        <v>0</v>
      </c>
      <c r="K132" s="22">
        <f>((G132+I132)*$K$12)</f>
        <v>0</v>
      </c>
      <c r="L132" s="22">
        <f>(SUM(G132:K132)*$L$12)</f>
        <v>0</v>
      </c>
      <c r="M132" s="22">
        <f>(SUM(G132:L132)*$M$12)</f>
        <v>0</v>
      </c>
      <c r="N132" s="102">
        <f>ROUND(G132+H132+J132+K132+L132+M132,2)</f>
        <v>0</v>
      </c>
      <c r="O132" s="112"/>
      <c r="P132" s="112"/>
    </row>
    <row r="133" spans="1:16" ht="16.5" customHeight="1">
      <c r="A133" s="61">
        <f aca="true" t="shared" si="35" ref="A133:A145">A132+1</f>
        <v>85</v>
      </c>
      <c r="B133" s="60"/>
      <c r="C133" s="19" t="s">
        <v>95</v>
      </c>
      <c r="D133" s="20" t="s">
        <v>203</v>
      </c>
      <c r="E133" s="91"/>
      <c r="F133" s="91">
        <v>1</v>
      </c>
      <c r="G133" s="35">
        <f>(137.46*E133*F133)</f>
        <v>0</v>
      </c>
      <c r="H133" s="35">
        <f>(0*E133*F133)</f>
        <v>0</v>
      </c>
      <c r="I133" s="35">
        <f>(E133*F133*0)</f>
        <v>0</v>
      </c>
      <c r="J133" s="35">
        <f>(0*E133*F133)</f>
        <v>0</v>
      </c>
      <c r="K133" s="22">
        <f>((G133+I133)*$K$12)</f>
        <v>0</v>
      </c>
      <c r="L133" s="22">
        <f>(SUM(G133:K133)*$L$12)</f>
        <v>0</v>
      </c>
      <c r="M133" s="22">
        <f>(SUM(G133:L133)*$M$12)</f>
        <v>0</v>
      </c>
      <c r="N133" s="102">
        <f>ROUND(G133+H133+J133+K133+L133+M133,2)</f>
        <v>0</v>
      </c>
      <c r="O133" s="112"/>
      <c r="P133" s="112"/>
    </row>
    <row r="134" spans="1:16" ht="18" customHeight="1">
      <c r="A134" s="61">
        <f t="shared" si="35"/>
        <v>86</v>
      </c>
      <c r="B134" s="60"/>
      <c r="C134" s="19" t="s">
        <v>98</v>
      </c>
      <c r="D134" s="20" t="s">
        <v>204</v>
      </c>
      <c r="E134" s="91"/>
      <c r="F134" s="91">
        <v>1</v>
      </c>
      <c r="G134" s="35">
        <f>(69.65*E134*F134)</f>
        <v>0</v>
      </c>
      <c r="H134" s="35">
        <f>(0*E134*F134)</f>
        <v>0</v>
      </c>
      <c r="I134" s="35">
        <f>(E134*F134*0)</f>
        <v>0</v>
      </c>
      <c r="J134" s="35">
        <f>(0*E134*F134)</f>
        <v>0</v>
      </c>
      <c r="K134" s="22">
        <f aca="true" t="shared" si="36" ref="K134:K141">((G134+I134)*$K$12)</f>
        <v>0</v>
      </c>
      <c r="L134" s="22">
        <f aca="true" t="shared" si="37" ref="L134:L141">(SUM(G134:K134)*$L$12)</f>
        <v>0</v>
      </c>
      <c r="M134" s="22">
        <f aca="true" t="shared" si="38" ref="M134:M141">(SUM(G134:L134)*$M$12)</f>
        <v>0</v>
      </c>
      <c r="N134" s="102">
        <f aca="true" t="shared" si="39" ref="N134:N141">ROUND(G134+H134+J134+K134+L134+M134,2)</f>
        <v>0</v>
      </c>
      <c r="O134" s="112"/>
      <c r="P134" s="112"/>
    </row>
    <row r="135" spans="1:16" ht="24" customHeight="1">
      <c r="A135" s="61">
        <f t="shared" si="35"/>
        <v>87</v>
      </c>
      <c r="B135" s="60"/>
      <c r="C135" s="19" t="s">
        <v>96</v>
      </c>
      <c r="D135" s="20" t="s">
        <v>205</v>
      </c>
      <c r="E135" s="91"/>
      <c r="F135" s="91">
        <v>1</v>
      </c>
      <c r="G135" s="35">
        <f>(1312.1*E135*F135)/100</f>
        <v>0</v>
      </c>
      <c r="H135" s="35">
        <f>(0*E135*F135)/100</f>
        <v>0</v>
      </c>
      <c r="I135" s="35">
        <f>(E135*F135*0)/100</f>
        <v>0</v>
      </c>
      <c r="J135" s="35">
        <f>(796.68*E135*F135)/100</f>
        <v>0</v>
      </c>
      <c r="K135" s="22">
        <f t="shared" si="36"/>
        <v>0</v>
      </c>
      <c r="L135" s="22">
        <f t="shared" si="37"/>
        <v>0</v>
      </c>
      <c r="M135" s="22">
        <f t="shared" si="38"/>
        <v>0</v>
      </c>
      <c r="N135" s="102">
        <f t="shared" si="39"/>
        <v>0</v>
      </c>
      <c r="O135" s="112"/>
      <c r="P135" s="112"/>
    </row>
    <row r="136" spans="1:16" ht="28.5" customHeight="1">
      <c r="A136" s="61">
        <f t="shared" si="35"/>
        <v>88</v>
      </c>
      <c r="B136" s="60"/>
      <c r="C136" s="19" t="s">
        <v>97</v>
      </c>
      <c r="D136" s="20" t="s">
        <v>205</v>
      </c>
      <c r="E136" s="91"/>
      <c r="F136" s="91">
        <v>1</v>
      </c>
      <c r="G136" s="35">
        <f>(524.84*E136*F136)/100</f>
        <v>0</v>
      </c>
      <c r="H136" s="35">
        <f>(0*E136*F136)/100</f>
        <v>0</v>
      </c>
      <c r="I136" s="35">
        <f>(E136*F136*0)/100</f>
        <v>0</v>
      </c>
      <c r="J136" s="35">
        <f>(0*E136*F136)/100</f>
        <v>0</v>
      </c>
      <c r="K136" s="22">
        <f>((G136+I136)*$K$12)</f>
        <v>0</v>
      </c>
      <c r="L136" s="22">
        <f t="shared" si="37"/>
        <v>0</v>
      </c>
      <c r="M136" s="22">
        <f t="shared" si="38"/>
        <v>0</v>
      </c>
      <c r="N136" s="102">
        <f t="shared" si="39"/>
        <v>0</v>
      </c>
      <c r="O136" s="112"/>
      <c r="P136" s="112"/>
    </row>
    <row r="137" spans="1:16" ht="39" customHeight="1">
      <c r="A137" s="61">
        <f t="shared" si="35"/>
        <v>89</v>
      </c>
      <c r="B137" s="60"/>
      <c r="C137" s="19" t="s">
        <v>206</v>
      </c>
      <c r="D137" s="20" t="s">
        <v>207</v>
      </c>
      <c r="E137" s="91"/>
      <c r="F137" s="91">
        <v>1</v>
      </c>
      <c r="G137" s="35">
        <f>(24.93*E137*F137)</f>
        <v>0</v>
      </c>
      <c r="H137" s="35">
        <f>(0*E137*F137)</f>
        <v>0</v>
      </c>
      <c r="I137" s="35">
        <f>(E137*F137*0)</f>
        <v>0</v>
      </c>
      <c r="J137" s="35">
        <f>(161.61*E137*F137)</f>
        <v>0</v>
      </c>
      <c r="K137" s="22">
        <f t="shared" si="36"/>
        <v>0</v>
      </c>
      <c r="L137" s="22">
        <f t="shared" si="37"/>
        <v>0</v>
      </c>
      <c r="M137" s="22">
        <f t="shared" si="38"/>
        <v>0</v>
      </c>
      <c r="N137" s="102">
        <f t="shared" si="39"/>
        <v>0</v>
      </c>
      <c r="O137" s="112"/>
      <c r="P137" s="112"/>
    </row>
    <row r="138" spans="1:16" ht="18.75" customHeight="1">
      <c r="A138" s="61">
        <f t="shared" si="35"/>
        <v>90</v>
      </c>
      <c r="B138" s="60"/>
      <c r="C138" s="19" t="s">
        <v>208</v>
      </c>
      <c r="D138" s="20" t="s">
        <v>209</v>
      </c>
      <c r="E138" s="91"/>
      <c r="F138" s="91">
        <v>1</v>
      </c>
      <c r="G138" s="35">
        <f>(9996.23*E138*F138)/100</f>
        <v>0</v>
      </c>
      <c r="H138" s="35">
        <f>(0*E138*F138)/100</f>
        <v>0</v>
      </c>
      <c r="I138" s="35">
        <f>(E138*F138*0)/100</f>
        <v>0</v>
      </c>
      <c r="J138" s="35">
        <f>(6812*E138*F138)/100</f>
        <v>0</v>
      </c>
      <c r="K138" s="22">
        <f t="shared" si="36"/>
        <v>0</v>
      </c>
      <c r="L138" s="22">
        <f t="shared" si="37"/>
        <v>0</v>
      </c>
      <c r="M138" s="22">
        <f t="shared" si="38"/>
        <v>0</v>
      </c>
      <c r="N138" s="102">
        <f t="shared" si="39"/>
        <v>0</v>
      </c>
      <c r="O138" s="112"/>
      <c r="P138" s="112"/>
    </row>
    <row r="139" spans="1:16" ht="15.75" customHeight="1">
      <c r="A139" s="61">
        <f t="shared" si="35"/>
        <v>91</v>
      </c>
      <c r="B139" s="60"/>
      <c r="C139" s="19" t="s">
        <v>99</v>
      </c>
      <c r="D139" s="20" t="s">
        <v>100</v>
      </c>
      <c r="E139" s="91"/>
      <c r="F139" s="91">
        <v>1</v>
      </c>
      <c r="G139" s="35">
        <f>(131.2*E139*F139)/1000</f>
        <v>0</v>
      </c>
      <c r="H139" s="35">
        <f>(0*E139*F139)/1000</f>
        <v>0</v>
      </c>
      <c r="I139" s="35">
        <f>(E139*F139*0)/1000</f>
        <v>0</v>
      </c>
      <c r="J139" s="35">
        <f>(0*E139*F139)/1000</f>
        <v>0</v>
      </c>
      <c r="K139" s="22">
        <f t="shared" si="36"/>
        <v>0</v>
      </c>
      <c r="L139" s="22">
        <f t="shared" si="37"/>
        <v>0</v>
      </c>
      <c r="M139" s="22">
        <f t="shared" si="38"/>
        <v>0</v>
      </c>
      <c r="N139" s="102">
        <f t="shared" si="39"/>
        <v>0</v>
      </c>
      <c r="O139" s="112"/>
      <c r="P139" s="112"/>
    </row>
    <row r="140" spans="1:16" ht="15.75" customHeight="1">
      <c r="A140" s="61">
        <f t="shared" si="35"/>
        <v>92</v>
      </c>
      <c r="B140" s="60"/>
      <c r="C140" s="19" t="s">
        <v>101</v>
      </c>
      <c r="D140" s="20" t="s">
        <v>328</v>
      </c>
      <c r="E140" s="91"/>
      <c r="F140" s="91">
        <v>1</v>
      </c>
      <c r="G140" s="35">
        <f>(36.74*E140*F140)/1000</f>
        <v>0</v>
      </c>
      <c r="H140" s="35">
        <f>(0*E140*F140)/1000</f>
        <v>0</v>
      </c>
      <c r="I140" s="35">
        <f>(E140*F140*0)/1000</f>
        <v>0</v>
      </c>
      <c r="J140" s="35">
        <f>(0*E140*F140)/1000</f>
        <v>0</v>
      </c>
      <c r="K140" s="22">
        <f t="shared" si="36"/>
        <v>0</v>
      </c>
      <c r="L140" s="22">
        <f t="shared" si="37"/>
        <v>0</v>
      </c>
      <c r="M140" s="22">
        <f t="shared" si="38"/>
        <v>0</v>
      </c>
      <c r="N140" s="102">
        <f t="shared" si="39"/>
        <v>0</v>
      </c>
      <c r="O140" s="112"/>
      <c r="P140" s="112"/>
    </row>
    <row r="141" spans="1:16" ht="15.75" customHeight="1">
      <c r="A141" s="61">
        <f t="shared" si="35"/>
        <v>93</v>
      </c>
      <c r="B141" s="60"/>
      <c r="C141" s="19" t="s">
        <v>112</v>
      </c>
      <c r="D141" s="20" t="s">
        <v>102</v>
      </c>
      <c r="E141" s="91"/>
      <c r="F141" s="91">
        <v>1</v>
      </c>
      <c r="G141" s="35">
        <f>(58*E141*F141)/10000</f>
        <v>0</v>
      </c>
      <c r="H141" s="35">
        <f>(0*E141*F141)/10000</f>
        <v>0</v>
      </c>
      <c r="I141" s="35">
        <f>(E141*F141*0)/10000</f>
        <v>0</v>
      </c>
      <c r="J141" s="35">
        <f>(0*E141*F141)/10000</f>
        <v>0</v>
      </c>
      <c r="K141" s="22">
        <f t="shared" si="36"/>
        <v>0</v>
      </c>
      <c r="L141" s="22">
        <f t="shared" si="37"/>
        <v>0</v>
      </c>
      <c r="M141" s="22">
        <f t="shared" si="38"/>
        <v>0</v>
      </c>
      <c r="N141" s="102">
        <f t="shared" si="39"/>
        <v>0</v>
      </c>
      <c r="O141" s="112"/>
      <c r="P141" s="112"/>
    </row>
    <row r="142" spans="1:16" ht="54" customHeight="1">
      <c r="A142" s="61">
        <f t="shared" si="35"/>
        <v>94</v>
      </c>
      <c r="B142" s="60"/>
      <c r="C142" s="19" t="s">
        <v>167</v>
      </c>
      <c r="D142" s="20" t="s">
        <v>273</v>
      </c>
      <c r="E142" s="91"/>
      <c r="F142" s="91"/>
      <c r="G142" s="35"/>
      <c r="H142" s="35"/>
      <c r="I142" s="35"/>
      <c r="J142" s="35"/>
      <c r="K142" s="35"/>
      <c r="L142" s="35"/>
      <c r="M142" s="22"/>
      <c r="N142" s="102">
        <v>0</v>
      </c>
      <c r="O142" s="112"/>
      <c r="P142" s="112"/>
    </row>
    <row r="143" spans="1:16" ht="30" customHeight="1">
      <c r="A143" s="61">
        <f t="shared" si="35"/>
        <v>95</v>
      </c>
      <c r="B143" s="60"/>
      <c r="C143" s="19" t="s">
        <v>318</v>
      </c>
      <c r="D143" s="20" t="s">
        <v>268</v>
      </c>
      <c r="E143" s="91"/>
      <c r="F143" s="91"/>
      <c r="G143" s="35"/>
      <c r="H143" s="35"/>
      <c r="I143" s="35"/>
      <c r="J143" s="35"/>
      <c r="K143" s="35"/>
      <c r="L143" s="35"/>
      <c r="M143" s="22"/>
      <c r="N143" s="102">
        <v>0</v>
      </c>
      <c r="O143" s="112"/>
      <c r="P143" s="112"/>
    </row>
    <row r="144" spans="1:16" ht="52.5" customHeight="1">
      <c r="A144" s="61">
        <f t="shared" si="35"/>
        <v>96</v>
      </c>
      <c r="B144" s="60"/>
      <c r="C144" s="19" t="s">
        <v>210</v>
      </c>
      <c r="D144" s="20" t="s">
        <v>273</v>
      </c>
      <c r="E144" s="91"/>
      <c r="F144" s="91"/>
      <c r="G144" s="35"/>
      <c r="H144" s="35"/>
      <c r="I144" s="35"/>
      <c r="J144" s="35"/>
      <c r="K144" s="35"/>
      <c r="L144" s="35"/>
      <c r="M144" s="22"/>
      <c r="N144" s="102">
        <v>0</v>
      </c>
      <c r="O144" s="112"/>
      <c r="P144" s="112"/>
    </row>
    <row r="145" spans="1:16" ht="54" customHeight="1">
      <c r="A145" s="61">
        <f t="shared" si="35"/>
        <v>97</v>
      </c>
      <c r="B145" s="60"/>
      <c r="C145" s="19" t="s">
        <v>211</v>
      </c>
      <c r="D145" s="20" t="s">
        <v>273</v>
      </c>
      <c r="E145" s="91"/>
      <c r="F145" s="91"/>
      <c r="G145" s="35"/>
      <c r="H145" s="35"/>
      <c r="I145" s="35"/>
      <c r="J145" s="35"/>
      <c r="K145" s="35"/>
      <c r="L145" s="35"/>
      <c r="M145" s="22"/>
      <c r="N145" s="102">
        <v>0</v>
      </c>
      <c r="O145" s="112"/>
      <c r="P145" s="112"/>
    </row>
    <row r="146" spans="1:16" s="30" customFormat="1" ht="18" customHeight="1">
      <c r="A146" s="25"/>
      <c r="B146" s="26"/>
      <c r="C146" s="27" t="s">
        <v>164</v>
      </c>
      <c r="D146" s="28"/>
      <c r="E146" s="40"/>
      <c r="F146" s="41"/>
      <c r="G146" s="29">
        <f aca="true" t="shared" si="40" ref="G146:M146">SUM(G131:G145)</f>
        <v>0</v>
      </c>
      <c r="H146" s="29">
        <f t="shared" si="40"/>
        <v>0</v>
      </c>
      <c r="I146" s="29">
        <f t="shared" si="40"/>
        <v>0</v>
      </c>
      <c r="J146" s="29">
        <f t="shared" si="40"/>
        <v>0</v>
      </c>
      <c r="K146" s="29">
        <f t="shared" si="40"/>
        <v>0</v>
      </c>
      <c r="L146" s="29">
        <f t="shared" si="40"/>
        <v>0</v>
      </c>
      <c r="M146" s="29">
        <f t="shared" si="40"/>
        <v>0</v>
      </c>
      <c r="N146" s="102">
        <f>SUM(N131:N145)</f>
        <v>0</v>
      </c>
      <c r="O146" s="139"/>
      <c r="P146" s="139"/>
    </row>
    <row r="147" spans="1:16" ht="18" customHeight="1">
      <c r="A147" s="132" t="s">
        <v>212</v>
      </c>
      <c r="B147" s="133"/>
      <c r="C147" s="133"/>
      <c r="D147" s="133"/>
      <c r="E147" s="133"/>
      <c r="F147" s="133"/>
      <c r="G147" s="133"/>
      <c r="H147" s="133"/>
      <c r="I147" s="133"/>
      <c r="J147" s="133"/>
      <c r="K147" s="133"/>
      <c r="L147" s="133"/>
      <c r="M147" s="133"/>
      <c r="N147" s="103"/>
      <c r="O147" s="112"/>
      <c r="P147" s="112"/>
    </row>
    <row r="148" spans="1:16" ht="60" customHeight="1">
      <c r="A148" s="61">
        <v>98</v>
      </c>
      <c r="B148" s="53"/>
      <c r="C148" s="58" t="s">
        <v>165</v>
      </c>
      <c r="D148" s="20" t="s">
        <v>273</v>
      </c>
      <c r="E148" s="91"/>
      <c r="F148" s="91"/>
      <c r="G148" s="35"/>
      <c r="H148" s="35"/>
      <c r="I148" s="35"/>
      <c r="J148" s="35"/>
      <c r="K148" s="35"/>
      <c r="L148" s="35"/>
      <c r="M148" s="21"/>
      <c r="N148" s="102">
        <f>ROUND(0*E148*F148,4)</f>
        <v>0</v>
      </c>
      <c r="O148" s="112"/>
      <c r="P148" s="112"/>
    </row>
    <row r="149" spans="1:16" ht="16.5" customHeight="1">
      <c r="A149" s="132" t="s">
        <v>341</v>
      </c>
      <c r="B149" s="133"/>
      <c r="C149" s="133"/>
      <c r="D149" s="133"/>
      <c r="E149" s="133"/>
      <c r="F149" s="133"/>
      <c r="G149" s="133"/>
      <c r="H149" s="133"/>
      <c r="I149" s="133"/>
      <c r="J149" s="133"/>
      <c r="K149" s="133"/>
      <c r="L149" s="133"/>
      <c r="M149" s="133"/>
      <c r="N149" s="103"/>
      <c r="O149" s="112"/>
      <c r="P149" s="112"/>
    </row>
    <row r="150" spans="1:16" ht="55.5" customHeight="1">
      <c r="A150" s="61">
        <v>99</v>
      </c>
      <c r="B150" s="53"/>
      <c r="C150" s="92" t="s">
        <v>213</v>
      </c>
      <c r="D150" s="20" t="s">
        <v>273</v>
      </c>
      <c r="E150" s="91"/>
      <c r="F150" s="91"/>
      <c r="G150" s="35"/>
      <c r="H150" s="35"/>
      <c r="I150" s="35"/>
      <c r="J150" s="35"/>
      <c r="K150" s="35"/>
      <c r="L150" s="35"/>
      <c r="M150" s="21"/>
      <c r="N150" s="102">
        <f>ROUND(0*E150*F150,4)</f>
        <v>0</v>
      </c>
      <c r="O150" s="112"/>
      <c r="P150" s="112"/>
    </row>
    <row r="151" spans="1:16" ht="18" customHeight="1">
      <c r="A151" s="132" t="s">
        <v>103</v>
      </c>
      <c r="B151" s="133"/>
      <c r="C151" s="133"/>
      <c r="D151" s="133"/>
      <c r="E151" s="133"/>
      <c r="F151" s="133"/>
      <c r="G151" s="133"/>
      <c r="H151" s="133"/>
      <c r="I151" s="133"/>
      <c r="J151" s="133"/>
      <c r="K151" s="133"/>
      <c r="L151" s="133"/>
      <c r="M151" s="133"/>
      <c r="N151" s="103"/>
      <c r="O151" s="112"/>
      <c r="P151" s="112"/>
    </row>
    <row r="152" spans="1:16" ht="15" customHeight="1">
      <c r="A152" s="132" t="s">
        <v>214</v>
      </c>
      <c r="B152" s="133"/>
      <c r="C152" s="133"/>
      <c r="D152" s="133"/>
      <c r="E152" s="133"/>
      <c r="F152" s="133"/>
      <c r="G152" s="133"/>
      <c r="H152" s="133"/>
      <c r="I152" s="133"/>
      <c r="J152" s="133"/>
      <c r="K152" s="133"/>
      <c r="L152" s="133"/>
      <c r="M152" s="133"/>
      <c r="N152" s="103"/>
      <c r="O152" s="112"/>
      <c r="P152" s="112"/>
    </row>
    <row r="153" spans="1:16" ht="15" customHeight="1">
      <c r="A153" s="132" t="s">
        <v>215</v>
      </c>
      <c r="B153" s="133"/>
      <c r="C153" s="133"/>
      <c r="D153" s="133"/>
      <c r="E153" s="133"/>
      <c r="F153" s="133"/>
      <c r="G153" s="133"/>
      <c r="H153" s="133"/>
      <c r="I153" s="133"/>
      <c r="J153" s="133"/>
      <c r="K153" s="133"/>
      <c r="L153" s="133"/>
      <c r="M153" s="133"/>
      <c r="N153" s="103"/>
      <c r="O153" s="112"/>
      <c r="P153" s="112"/>
    </row>
    <row r="154" spans="1:16" ht="28.5" customHeight="1">
      <c r="A154" s="52" t="s">
        <v>283</v>
      </c>
      <c r="B154" s="53"/>
      <c r="C154" s="62" t="s">
        <v>284</v>
      </c>
      <c r="D154" s="53"/>
      <c r="E154" s="59"/>
      <c r="F154" s="59"/>
      <c r="G154" s="59"/>
      <c r="H154" s="59"/>
      <c r="I154" s="59"/>
      <c r="J154" s="59"/>
      <c r="K154" s="59"/>
      <c r="L154" s="59"/>
      <c r="M154" s="59"/>
      <c r="N154" s="103"/>
      <c r="O154" s="112"/>
      <c r="P154" s="112"/>
    </row>
    <row r="155" spans="1:16" ht="39.75" customHeight="1">
      <c r="A155" s="61">
        <v>100</v>
      </c>
      <c r="B155" s="60"/>
      <c r="C155" s="19" t="s">
        <v>104</v>
      </c>
      <c r="D155" s="20" t="s">
        <v>158</v>
      </c>
      <c r="E155" s="91"/>
      <c r="F155" s="91">
        <v>1</v>
      </c>
      <c r="G155" s="100">
        <f>(248.14*E155*F155)/100</f>
        <v>0</v>
      </c>
      <c r="H155" s="35">
        <f>(0*E155*F155)/100</f>
        <v>0</v>
      </c>
      <c r="I155" s="35">
        <f>(E155*F155*0)/100</f>
        <v>0</v>
      </c>
      <c r="J155" s="35">
        <f>(0.51*E155*F155)/100</f>
        <v>0</v>
      </c>
      <c r="K155" s="22">
        <f>((G155+I155)*$K$12)</f>
        <v>0</v>
      </c>
      <c r="L155" s="22">
        <f>(SUM(G155:K155)*$L$12)</f>
        <v>0</v>
      </c>
      <c r="M155" s="22">
        <f>(SUM(G155:L155)*$M$12)</f>
        <v>0</v>
      </c>
      <c r="N155" s="102">
        <f>ROUND(G155+H155+J155+K155+L155+M155,2)</f>
        <v>0</v>
      </c>
      <c r="O155" s="112"/>
      <c r="P155" s="112"/>
    </row>
    <row r="156" spans="1:16" ht="39.75" customHeight="1">
      <c r="A156" s="61">
        <f>A155+1</f>
        <v>101</v>
      </c>
      <c r="B156" s="60"/>
      <c r="C156" s="19" t="s">
        <v>105</v>
      </c>
      <c r="D156" s="20" t="s">
        <v>158</v>
      </c>
      <c r="E156" s="91"/>
      <c r="F156" s="91">
        <v>1</v>
      </c>
      <c r="G156" s="35">
        <f>(323.87*E156*F156)/100</f>
        <v>0</v>
      </c>
      <c r="H156" s="35">
        <f>(0*E156*F156)/100</f>
        <v>0</v>
      </c>
      <c r="I156" s="35">
        <f>(E156*F156*0)/100</f>
        <v>0</v>
      </c>
      <c r="J156" s="35">
        <f>(0.66*E156*F156)/100</f>
        <v>0</v>
      </c>
      <c r="K156" s="22">
        <f>((G156+I156)*$K$12)</f>
        <v>0</v>
      </c>
      <c r="L156" s="22">
        <f>(SUM(G156:K156)*$L$12)</f>
        <v>0</v>
      </c>
      <c r="M156" s="22">
        <f>(SUM(G156:L156)*$M$12)</f>
        <v>0</v>
      </c>
      <c r="N156" s="102">
        <f>ROUND(G156+H156+J156+K156+L156+M156,2)</f>
        <v>0</v>
      </c>
      <c r="O156" s="112"/>
      <c r="P156" s="112"/>
    </row>
    <row r="157" spans="1:16" ht="39.75" customHeight="1">
      <c r="A157" s="61">
        <f>A156+1</f>
        <v>102</v>
      </c>
      <c r="B157" s="60"/>
      <c r="C157" s="19" t="s">
        <v>106</v>
      </c>
      <c r="D157" s="20" t="s">
        <v>158</v>
      </c>
      <c r="E157" s="91"/>
      <c r="F157" s="91">
        <v>1</v>
      </c>
      <c r="G157" s="35">
        <f>(298.62*E157*F157)/100</f>
        <v>0</v>
      </c>
      <c r="H157" s="35">
        <f>(0*E157*F157)/100</f>
        <v>0</v>
      </c>
      <c r="I157" s="35">
        <f>(E157*F157*0)/100</f>
        <v>0</v>
      </c>
      <c r="J157" s="35">
        <f>(0.59*E157*F157)/100</f>
        <v>0</v>
      </c>
      <c r="K157" s="22">
        <f>((G157+I157)*$K$12)</f>
        <v>0</v>
      </c>
      <c r="L157" s="22">
        <f>(SUM(G157:K157)*$L$12)</f>
        <v>0</v>
      </c>
      <c r="M157" s="22">
        <f>(SUM(G157:L157)*$M$12)</f>
        <v>0</v>
      </c>
      <c r="N157" s="102">
        <f>ROUND(G157+H157+J157+K157+L157+M157,2)</f>
        <v>0</v>
      </c>
      <c r="O157" s="112"/>
      <c r="P157" s="112"/>
    </row>
    <row r="158" spans="1:16" ht="39.75" customHeight="1">
      <c r="A158" s="61">
        <f>A157+1</f>
        <v>103</v>
      </c>
      <c r="B158" s="60"/>
      <c r="C158" s="19" t="s">
        <v>107</v>
      </c>
      <c r="D158" s="20" t="s">
        <v>158</v>
      </c>
      <c r="E158" s="91"/>
      <c r="F158" s="91">
        <v>1</v>
      </c>
      <c r="G158" s="35">
        <f>(340.78*E158*F158)/100</f>
        <v>0</v>
      </c>
      <c r="H158" s="35">
        <f>(0*E158*F158)/100</f>
        <v>0</v>
      </c>
      <c r="I158" s="35">
        <f>(E158*F158*0)/100</f>
        <v>0</v>
      </c>
      <c r="J158" s="35">
        <f>(0.67*E158*F158)/100</f>
        <v>0</v>
      </c>
      <c r="K158" s="22">
        <f>((G158+I158)*$K$12)</f>
        <v>0</v>
      </c>
      <c r="L158" s="22">
        <f>(SUM(G158:K158)*$L$12)</f>
        <v>0</v>
      </c>
      <c r="M158" s="22">
        <f>(SUM(G158:L158)*$M$12)</f>
        <v>0</v>
      </c>
      <c r="N158" s="102">
        <f>ROUND(G158+H158+J158+K158+L158+M158,2)</f>
        <v>0</v>
      </c>
      <c r="O158" s="112"/>
      <c r="P158" s="112"/>
    </row>
    <row r="159" spans="1:16" ht="26.25" customHeight="1">
      <c r="A159" s="52" t="s">
        <v>281</v>
      </c>
      <c r="B159" s="52" t="s">
        <v>274</v>
      </c>
      <c r="C159" s="52" t="s">
        <v>282</v>
      </c>
      <c r="D159" s="53"/>
      <c r="E159" s="59"/>
      <c r="F159" s="59"/>
      <c r="G159" s="59"/>
      <c r="H159" s="59"/>
      <c r="I159" s="59"/>
      <c r="J159" s="59"/>
      <c r="K159" s="59"/>
      <c r="L159" s="59"/>
      <c r="M159" s="59"/>
      <c r="N159" s="103"/>
      <c r="O159" s="112"/>
      <c r="P159" s="112"/>
    </row>
    <row r="160" spans="1:16" ht="39.75" customHeight="1">
      <c r="A160" s="61">
        <v>104</v>
      </c>
      <c r="B160" s="60"/>
      <c r="C160" s="19" t="s">
        <v>108</v>
      </c>
      <c r="D160" s="20" t="s">
        <v>158</v>
      </c>
      <c r="E160" s="91"/>
      <c r="F160" s="91">
        <v>1</v>
      </c>
      <c r="G160" s="35">
        <f>(189.32*E160*F160)/100</f>
        <v>0</v>
      </c>
      <c r="H160" s="35">
        <f>(0*E160*F160)/100</f>
        <v>0</v>
      </c>
      <c r="I160" s="35">
        <f>(E160*F160*0)/100</f>
        <v>0</v>
      </c>
      <c r="J160" s="35">
        <f>(0.38*E160*F160)/100</f>
        <v>0</v>
      </c>
      <c r="K160" s="22">
        <f>((G160+I160)*$K$12)</f>
        <v>0</v>
      </c>
      <c r="L160" s="22">
        <f>(SUM(G160:K160)*$L$12)</f>
        <v>0</v>
      </c>
      <c r="M160" s="22">
        <f>(SUM(G160:L160)*$M$12)</f>
        <v>0</v>
      </c>
      <c r="N160" s="102">
        <f>ROUND(G160+H160+J160+K160+L160+M160,2)</f>
        <v>0</v>
      </c>
      <c r="O160" s="112"/>
      <c r="P160" s="112"/>
    </row>
    <row r="161" spans="1:16" ht="39.75" customHeight="1">
      <c r="A161" s="61">
        <f>A160+1</f>
        <v>105</v>
      </c>
      <c r="B161" s="60"/>
      <c r="C161" s="19" t="s">
        <v>110</v>
      </c>
      <c r="D161" s="20" t="s">
        <v>158</v>
      </c>
      <c r="E161" s="91"/>
      <c r="F161" s="91">
        <v>1</v>
      </c>
      <c r="G161" s="35">
        <f>(273.38*E161*F161)/100</f>
        <v>0</v>
      </c>
      <c r="H161" s="35">
        <f>(0*E161*F161)/100</f>
        <v>0</v>
      </c>
      <c r="I161" s="35">
        <f>(E161*F161*0)/100</f>
        <v>0</v>
      </c>
      <c r="J161" s="35">
        <f>(0.54*E161*F161)/100</f>
        <v>0</v>
      </c>
      <c r="K161" s="22">
        <f>((G161+I161)*$K$12)</f>
        <v>0</v>
      </c>
      <c r="L161" s="22">
        <f>(SUM(G161:K161)*$L$12)</f>
        <v>0</v>
      </c>
      <c r="M161" s="22">
        <f>(SUM(G161:L161)*$M$12)</f>
        <v>0</v>
      </c>
      <c r="N161" s="102">
        <f>ROUND(G161+H161+J161+K161+L161+M161,2)</f>
        <v>0</v>
      </c>
      <c r="O161" s="112"/>
      <c r="P161" s="112"/>
    </row>
    <row r="162" spans="1:16" ht="39.75" customHeight="1">
      <c r="A162" s="61">
        <f>A161+1</f>
        <v>106</v>
      </c>
      <c r="B162" s="60"/>
      <c r="C162" s="19" t="s">
        <v>109</v>
      </c>
      <c r="D162" s="20" t="s">
        <v>158</v>
      </c>
      <c r="E162" s="91"/>
      <c r="F162" s="91">
        <v>1</v>
      </c>
      <c r="G162" s="35">
        <f>(260.76*E162*F162)/100</f>
        <v>0</v>
      </c>
      <c r="H162" s="35">
        <f>(0*E162*F162)/100</f>
        <v>0</v>
      </c>
      <c r="I162" s="35">
        <f>(E162*F162*0)/100</f>
        <v>0</v>
      </c>
      <c r="J162" s="35">
        <f>(0.51*E162*F162)/100</f>
        <v>0</v>
      </c>
      <c r="K162" s="22">
        <f>((G162+I162)*$K$12)</f>
        <v>0</v>
      </c>
      <c r="L162" s="22">
        <f>(SUM(G162:K162)*$L$12)</f>
        <v>0</v>
      </c>
      <c r="M162" s="22">
        <f>(SUM(G162:L162)*$M$12)</f>
        <v>0</v>
      </c>
      <c r="N162" s="102">
        <f>ROUND(G162+H162+J162+K162+L162+M162,2)</f>
        <v>0</v>
      </c>
      <c r="O162" s="112"/>
      <c r="P162" s="112"/>
    </row>
    <row r="163" spans="1:16" ht="39" customHeight="1">
      <c r="A163" s="61">
        <f>A162+1</f>
        <v>107</v>
      </c>
      <c r="B163" s="60"/>
      <c r="C163" s="19" t="s">
        <v>111</v>
      </c>
      <c r="D163" s="20" t="s">
        <v>158</v>
      </c>
      <c r="E163" s="91"/>
      <c r="F163" s="91">
        <v>1</v>
      </c>
      <c r="G163" s="35">
        <f>(298.62*E163*F163)/100</f>
        <v>0</v>
      </c>
      <c r="H163" s="35">
        <f>(0*E163*F163)/100</f>
        <v>0</v>
      </c>
      <c r="I163" s="35">
        <f>(E163*F163*0)/100</f>
        <v>0</v>
      </c>
      <c r="J163" s="35">
        <f>(0.59*E163*F163)/100</f>
        <v>0</v>
      </c>
      <c r="K163" s="22">
        <f>((G163+I163)*$K$12)</f>
        <v>0</v>
      </c>
      <c r="L163" s="22">
        <f>(SUM(G163:K163)*$L$12)</f>
        <v>0</v>
      </c>
      <c r="M163" s="22">
        <f>(SUM(G163:L163)*$M$12)</f>
        <v>0</v>
      </c>
      <c r="N163" s="102">
        <f>ROUND(G163+H163+J163+K163+L163+M163,2)</f>
        <v>0</v>
      </c>
      <c r="O163" s="112"/>
      <c r="P163" s="112"/>
    </row>
    <row r="164" spans="1:16" ht="15" customHeight="1">
      <c r="A164" s="52" t="s">
        <v>285</v>
      </c>
      <c r="B164" s="53"/>
      <c r="C164" s="63" t="s">
        <v>286</v>
      </c>
      <c r="D164" s="53"/>
      <c r="E164" s="59"/>
      <c r="F164" s="59"/>
      <c r="G164" s="59"/>
      <c r="H164" s="59"/>
      <c r="I164" s="59"/>
      <c r="J164" s="59"/>
      <c r="K164" s="59"/>
      <c r="L164" s="59"/>
      <c r="M164" s="59"/>
      <c r="N164" s="103"/>
      <c r="O164" s="112"/>
      <c r="P164" s="112"/>
    </row>
    <row r="165" spans="1:16" ht="36">
      <c r="A165" s="61">
        <v>108</v>
      </c>
      <c r="B165" s="60"/>
      <c r="C165" s="19" t="s">
        <v>113</v>
      </c>
      <c r="D165" s="20" t="s">
        <v>159</v>
      </c>
      <c r="E165" s="91"/>
      <c r="F165" s="91">
        <v>1</v>
      </c>
      <c r="G165" s="35">
        <f>(567.97*E165*F165)/100</f>
        <v>0</v>
      </c>
      <c r="H165" s="35">
        <f>(0*E165*F165)/100</f>
        <v>0</v>
      </c>
      <c r="I165" s="35">
        <f>(E165*F165*0)/100</f>
        <v>0</v>
      </c>
      <c r="J165" s="35">
        <f>(70.3*E165*F165)/100</f>
        <v>0</v>
      </c>
      <c r="K165" s="22">
        <f>((G165+I165)*$K$12)</f>
        <v>0</v>
      </c>
      <c r="L165" s="22">
        <f>(SUM(G165:K165)*$L$12)</f>
        <v>0</v>
      </c>
      <c r="M165" s="22">
        <f>(SUM(G165:L165)*$M$12)</f>
        <v>0</v>
      </c>
      <c r="N165" s="102">
        <f>ROUND(G165+H165+J165+K165+L165+M165,2)</f>
        <v>0</v>
      </c>
      <c r="O165" s="112"/>
      <c r="P165" s="112"/>
    </row>
    <row r="166" spans="1:16" ht="36">
      <c r="A166" s="61">
        <f>A165+1</f>
        <v>109</v>
      </c>
      <c r="B166" s="60"/>
      <c r="C166" s="19" t="s">
        <v>114</v>
      </c>
      <c r="D166" s="20" t="s">
        <v>159</v>
      </c>
      <c r="E166" s="91"/>
      <c r="F166" s="91">
        <v>1</v>
      </c>
      <c r="G166" s="35">
        <f>(530.1*E166*F166)/100</f>
        <v>0</v>
      </c>
      <c r="H166" s="35">
        <f>(0*E166*F166)/100</f>
        <v>0</v>
      </c>
      <c r="I166" s="35">
        <f>(E166*F166*0)/100</f>
        <v>0</v>
      </c>
      <c r="J166" s="35">
        <f>(70.3*E166*F166)/100</f>
        <v>0</v>
      </c>
      <c r="K166" s="22">
        <f>((G166+I166)*$K$12)</f>
        <v>0</v>
      </c>
      <c r="L166" s="22">
        <f>(SUM(G166:K166)*$L$12)</f>
        <v>0</v>
      </c>
      <c r="M166" s="22">
        <f>(SUM(G166:L166)*$M$12)</f>
        <v>0</v>
      </c>
      <c r="N166" s="102">
        <f>ROUND(G166+H166+J166+K166+L166+M166,2)</f>
        <v>0</v>
      </c>
      <c r="O166" s="112"/>
      <c r="P166" s="112"/>
    </row>
    <row r="167" spans="1:16" ht="36">
      <c r="A167" s="61">
        <f>A166+1</f>
        <v>110</v>
      </c>
      <c r="B167" s="60"/>
      <c r="C167" s="19" t="s">
        <v>115</v>
      </c>
      <c r="D167" s="20" t="s">
        <v>159</v>
      </c>
      <c r="E167" s="91"/>
      <c r="F167" s="91">
        <v>1</v>
      </c>
      <c r="G167" s="35">
        <f>(382.94*E167*F167)/100</f>
        <v>0</v>
      </c>
      <c r="H167" s="35">
        <f>(0*E167*F167)/100</f>
        <v>0</v>
      </c>
      <c r="I167" s="35">
        <f>(E167*F167*0)/100</f>
        <v>0</v>
      </c>
      <c r="J167" s="35">
        <f>(72.07*E167*F167)/100</f>
        <v>0</v>
      </c>
      <c r="K167" s="22">
        <f>((G167+I167)*$K$12)</f>
        <v>0</v>
      </c>
      <c r="L167" s="22">
        <f>(SUM(G167:K167)*$L$12)</f>
        <v>0</v>
      </c>
      <c r="M167" s="22">
        <f>(SUM(G167:L167)*$M$12)</f>
        <v>0</v>
      </c>
      <c r="N167" s="102">
        <f>ROUND(G167+H167+J167+K167+L167+M167,2)</f>
        <v>0</v>
      </c>
      <c r="O167" s="112"/>
      <c r="P167" s="112"/>
    </row>
    <row r="168" spans="1:16" ht="36">
      <c r="A168" s="61">
        <f>A167+1</f>
        <v>111</v>
      </c>
      <c r="B168" s="60"/>
      <c r="C168" s="19" t="s">
        <v>116</v>
      </c>
      <c r="D168" s="20" t="s">
        <v>159</v>
      </c>
      <c r="E168" s="91"/>
      <c r="F168" s="91">
        <v>1</v>
      </c>
      <c r="G168" s="35">
        <f>(450.08*E168*F168)/100</f>
        <v>0</v>
      </c>
      <c r="H168" s="35">
        <f>(0*E168*F168)/100</f>
        <v>0</v>
      </c>
      <c r="I168" s="35">
        <f>(E168*F168*0)/100</f>
        <v>0</v>
      </c>
      <c r="J168" s="35">
        <f>(70.23*E168*F168)/100</f>
        <v>0</v>
      </c>
      <c r="K168" s="22">
        <f>((G168+I168)*$K$12)</f>
        <v>0</v>
      </c>
      <c r="L168" s="22">
        <f>(SUM(G168:K168)*$L$12)</f>
        <v>0</v>
      </c>
      <c r="M168" s="22">
        <f>(SUM(G168:L168)*$M$12)</f>
        <v>0</v>
      </c>
      <c r="N168" s="102">
        <f>ROUND(G168+H168+J168+K168+L168+M168,2)</f>
        <v>0</v>
      </c>
      <c r="O168" s="112"/>
      <c r="P168" s="112"/>
    </row>
    <row r="169" spans="1:16" ht="15" customHeight="1">
      <c r="A169" s="52" t="s">
        <v>279</v>
      </c>
      <c r="B169" s="53"/>
      <c r="C169" s="63" t="s">
        <v>280</v>
      </c>
      <c r="D169" s="53"/>
      <c r="E169" s="59"/>
      <c r="F169" s="59"/>
      <c r="G169" s="59"/>
      <c r="H169" s="59"/>
      <c r="I169" s="59"/>
      <c r="J169" s="59"/>
      <c r="K169" s="59"/>
      <c r="L169" s="59"/>
      <c r="M169" s="59"/>
      <c r="N169" s="103"/>
      <c r="O169" s="112"/>
      <c r="P169" s="112"/>
    </row>
    <row r="170" spans="1:16" ht="36">
      <c r="A170" s="61">
        <v>112</v>
      </c>
      <c r="B170" s="60"/>
      <c r="C170" s="19" t="s">
        <v>117</v>
      </c>
      <c r="D170" s="20" t="s">
        <v>159</v>
      </c>
      <c r="E170" s="91"/>
      <c r="F170" s="91">
        <v>1</v>
      </c>
      <c r="G170" s="35">
        <f>(457.4*E170*F170)/100</f>
        <v>0</v>
      </c>
      <c r="H170" s="35">
        <f aca="true" t="shared" si="41" ref="H170:H198">(0*E170*F170)/100</f>
        <v>0</v>
      </c>
      <c r="I170" s="35">
        <f aca="true" t="shared" si="42" ref="I170:I198">(E170*F170*0)/100</f>
        <v>0</v>
      </c>
      <c r="J170" s="35">
        <f>(70.23*E170*F170)/100</f>
        <v>0</v>
      </c>
      <c r="K170" s="22">
        <f>((G170+I170)*$K$12)</f>
        <v>0</v>
      </c>
      <c r="L170" s="22">
        <f>(SUM(G170:K170)*$L$12)</f>
        <v>0</v>
      </c>
      <c r="M170" s="22">
        <f>(SUM(G170:L170)*$M$12)</f>
        <v>0</v>
      </c>
      <c r="N170" s="102">
        <f>ROUND(G170+H170+J170+K170+L170+M170,2)</f>
        <v>0</v>
      </c>
      <c r="O170" s="112"/>
      <c r="P170" s="112"/>
    </row>
    <row r="171" spans="1:16" ht="39.75" customHeight="1">
      <c r="A171" s="61">
        <f>A170+1</f>
        <v>113</v>
      </c>
      <c r="B171" s="60"/>
      <c r="C171" s="19" t="s">
        <v>170</v>
      </c>
      <c r="D171" s="20" t="s">
        <v>159</v>
      </c>
      <c r="E171" s="91"/>
      <c r="F171" s="91">
        <v>1</v>
      </c>
      <c r="G171" s="35">
        <f>(441.75*E171*F171)/100</f>
        <v>0</v>
      </c>
      <c r="H171" s="35">
        <f t="shared" si="41"/>
        <v>0</v>
      </c>
      <c r="I171" s="35">
        <f t="shared" si="42"/>
        <v>0</v>
      </c>
      <c r="J171" s="35">
        <f>(70.23*E171*F171)/100</f>
        <v>0</v>
      </c>
      <c r="K171" s="22">
        <f>((G171+I171)*$K$12)</f>
        <v>0</v>
      </c>
      <c r="L171" s="22">
        <f>(SUM(G171:K171)*$L$12)</f>
        <v>0</v>
      </c>
      <c r="M171" s="22">
        <f>(SUM(G171:L171)*$M$12)</f>
        <v>0</v>
      </c>
      <c r="N171" s="102">
        <f>ROUND(G171+H171+J171+K171+L171+M171,2)</f>
        <v>0</v>
      </c>
      <c r="O171" s="112"/>
      <c r="P171" s="112"/>
    </row>
    <row r="172" spans="1:16" ht="36">
      <c r="A172" s="61">
        <f>A171+1</f>
        <v>114</v>
      </c>
      <c r="B172" s="60"/>
      <c r="C172" s="19" t="s">
        <v>118</v>
      </c>
      <c r="D172" s="20" t="s">
        <v>159</v>
      </c>
      <c r="E172" s="91"/>
      <c r="F172" s="91">
        <v>1</v>
      </c>
      <c r="G172" s="35">
        <f>(328.16*E172*F172)/100</f>
        <v>0</v>
      </c>
      <c r="H172" s="35">
        <f>(0*E172*F172)/100</f>
        <v>0</v>
      </c>
      <c r="I172" s="35">
        <f>(E172*F172*0)/100</f>
        <v>0</v>
      </c>
      <c r="J172" s="35">
        <f>(70.17*E172*F172)/100</f>
        <v>0</v>
      </c>
      <c r="K172" s="22">
        <f>((G172+I172)*$K$12)</f>
        <v>0</v>
      </c>
      <c r="L172" s="22">
        <f>(SUM(G172:K172)*$L$12)</f>
        <v>0</v>
      </c>
      <c r="M172" s="22">
        <f>(SUM(G172:L172)*$M$12)</f>
        <v>0</v>
      </c>
      <c r="N172" s="102">
        <f>ROUND(G172+H172+J172+K172+L172+M172,2)</f>
        <v>0</v>
      </c>
      <c r="O172" s="112"/>
      <c r="P172" s="112"/>
    </row>
    <row r="173" spans="1:16" ht="39" customHeight="1">
      <c r="A173" s="61">
        <f>A172+1</f>
        <v>115</v>
      </c>
      <c r="B173" s="60"/>
      <c r="C173" s="19" t="s">
        <v>119</v>
      </c>
      <c r="D173" s="20" t="s">
        <v>159</v>
      </c>
      <c r="E173" s="91"/>
      <c r="F173" s="91">
        <v>1</v>
      </c>
      <c r="G173" s="35">
        <f>(345.07*E173*F173)/100</f>
        <v>0</v>
      </c>
      <c r="H173" s="35">
        <f t="shared" si="41"/>
        <v>0</v>
      </c>
      <c r="I173" s="35">
        <f t="shared" si="42"/>
        <v>0</v>
      </c>
      <c r="J173" s="35">
        <f>(70.17*E173*F173)/100</f>
        <v>0</v>
      </c>
      <c r="K173" s="22">
        <f aca="true" t="shared" si="43" ref="K173:K192">((G173+I173)*$K$12)</f>
        <v>0</v>
      </c>
      <c r="L173" s="22">
        <f aca="true" t="shared" si="44" ref="L173:L192">(SUM(G173:K173)*$L$12)</f>
        <v>0</v>
      </c>
      <c r="M173" s="22">
        <f aca="true" t="shared" si="45" ref="M173:M192">(SUM(G173:L173)*$M$12)</f>
        <v>0</v>
      </c>
      <c r="N173" s="102">
        <f>ROUND(G173+H173+J173+K173+L173+M173,2)</f>
        <v>0</v>
      </c>
      <c r="O173" s="112"/>
      <c r="P173" s="112"/>
    </row>
    <row r="174" spans="1:16" ht="15.75" customHeight="1">
      <c r="A174" s="61"/>
      <c r="B174" s="60"/>
      <c r="C174" s="19"/>
      <c r="D174" s="20"/>
      <c r="E174" s="91"/>
      <c r="F174" s="91"/>
      <c r="G174" s="35"/>
      <c r="H174" s="35"/>
      <c r="I174" s="35"/>
      <c r="J174" s="35"/>
      <c r="K174" s="22"/>
      <c r="L174" s="23"/>
      <c r="M174" s="22"/>
      <c r="N174" s="102"/>
      <c r="O174" s="112"/>
      <c r="P174" s="112"/>
    </row>
    <row r="175" spans="1:16" ht="36">
      <c r="A175" s="61">
        <v>116</v>
      </c>
      <c r="B175" s="60"/>
      <c r="C175" s="19" t="s">
        <v>120</v>
      </c>
      <c r="D175" s="20" t="s">
        <v>159</v>
      </c>
      <c r="E175" s="91"/>
      <c r="F175" s="91">
        <v>1</v>
      </c>
      <c r="G175" s="35">
        <f>(79.48*E175*F175)/100</f>
        <v>0</v>
      </c>
      <c r="H175" s="35">
        <f t="shared" si="41"/>
        <v>0</v>
      </c>
      <c r="I175" s="35">
        <f t="shared" si="42"/>
        <v>0</v>
      </c>
      <c r="J175" s="35">
        <f>(0.55*E175*F175)/100</f>
        <v>0</v>
      </c>
      <c r="K175" s="22">
        <f t="shared" si="43"/>
        <v>0</v>
      </c>
      <c r="L175" s="22">
        <f t="shared" si="44"/>
        <v>0</v>
      </c>
      <c r="M175" s="22">
        <f t="shared" si="45"/>
        <v>0</v>
      </c>
      <c r="N175" s="102">
        <f aca="true" t="shared" si="46" ref="N175:N192">ROUND(G175+H175+J175+K175+L175+M175,2)</f>
        <v>0</v>
      </c>
      <c r="O175" s="112"/>
      <c r="P175" s="112"/>
    </row>
    <row r="176" spans="1:16" ht="36">
      <c r="A176" s="61">
        <f>A175+1</f>
        <v>117</v>
      </c>
      <c r="B176" s="60"/>
      <c r="C176" s="19" t="s">
        <v>121</v>
      </c>
      <c r="D176" s="20" t="s">
        <v>159</v>
      </c>
      <c r="E176" s="91"/>
      <c r="F176" s="91">
        <v>1</v>
      </c>
      <c r="G176" s="35">
        <f>(201.62*E176*F176)/100</f>
        <v>0</v>
      </c>
      <c r="H176" s="35">
        <f t="shared" si="41"/>
        <v>0</v>
      </c>
      <c r="I176" s="35">
        <f t="shared" si="42"/>
        <v>0</v>
      </c>
      <c r="J176" s="35">
        <f>(61.0326*E176*F176)/100</f>
        <v>0</v>
      </c>
      <c r="K176" s="22">
        <f t="shared" si="43"/>
        <v>0</v>
      </c>
      <c r="L176" s="22">
        <f t="shared" si="44"/>
        <v>0</v>
      </c>
      <c r="M176" s="22">
        <f t="shared" si="45"/>
        <v>0</v>
      </c>
      <c r="N176" s="102">
        <f t="shared" si="46"/>
        <v>0</v>
      </c>
      <c r="O176" s="112"/>
      <c r="P176" s="112"/>
    </row>
    <row r="177" spans="1:16" ht="36">
      <c r="A177" s="61">
        <f aca="true" t="shared" si="47" ref="A177:A192">A176+1</f>
        <v>118</v>
      </c>
      <c r="B177" s="60"/>
      <c r="C177" s="19" t="s">
        <v>122</v>
      </c>
      <c r="D177" s="20" t="s">
        <v>159</v>
      </c>
      <c r="E177" s="91"/>
      <c r="F177" s="91">
        <v>1</v>
      </c>
      <c r="G177" s="35">
        <f>(307.41*E177*F177)/100</f>
        <v>0</v>
      </c>
      <c r="H177" s="35">
        <f t="shared" si="41"/>
        <v>0</v>
      </c>
      <c r="I177" s="35">
        <f t="shared" si="42"/>
        <v>0</v>
      </c>
      <c r="J177" s="35">
        <f>(38.41*E177*F177)/100</f>
        <v>0</v>
      </c>
      <c r="K177" s="22">
        <f t="shared" si="43"/>
        <v>0</v>
      </c>
      <c r="L177" s="22">
        <f t="shared" si="44"/>
        <v>0</v>
      </c>
      <c r="M177" s="22">
        <f t="shared" si="45"/>
        <v>0</v>
      </c>
      <c r="N177" s="102">
        <f t="shared" si="46"/>
        <v>0</v>
      </c>
      <c r="O177" s="112"/>
      <c r="P177" s="112"/>
    </row>
    <row r="178" spans="1:16" ht="36">
      <c r="A178" s="61">
        <f t="shared" si="47"/>
        <v>119</v>
      </c>
      <c r="B178" s="60"/>
      <c r="C178" s="19" t="s">
        <v>123</v>
      </c>
      <c r="D178" s="20" t="s">
        <v>159</v>
      </c>
      <c r="E178" s="91"/>
      <c r="F178" s="91">
        <v>1</v>
      </c>
      <c r="G178" s="35">
        <f>(477.37*E178*F178)/100</f>
        <v>0</v>
      </c>
      <c r="H178" s="35">
        <f t="shared" si="41"/>
        <v>0</v>
      </c>
      <c r="I178" s="35">
        <f t="shared" si="42"/>
        <v>0</v>
      </c>
      <c r="J178" s="35">
        <f>(61.03*E178*F178)/100</f>
        <v>0</v>
      </c>
      <c r="K178" s="22">
        <f t="shared" si="43"/>
        <v>0</v>
      </c>
      <c r="L178" s="22">
        <f t="shared" si="44"/>
        <v>0</v>
      </c>
      <c r="M178" s="22">
        <f t="shared" si="45"/>
        <v>0</v>
      </c>
      <c r="N178" s="102">
        <f t="shared" si="46"/>
        <v>0</v>
      </c>
      <c r="O178" s="112"/>
      <c r="P178" s="112"/>
    </row>
    <row r="179" spans="1:16" ht="18.75">
      <c r="A179" s="61">
        <f t="shared" si="47"/>
        <v>120</v>
      </c>
      <c r="B179" s="60"/>
      <c r="C179" s="19" t="s">
        <v>136</v>
      </c>
      <c r="D179" s="20" t="s">
        <v>137</v>
      </c>
      <c r="E179" s="91"/>
      <c r="F179" s="91">
        <v>1</v>
      </c>
      <c r="G179" s="35">
        <f>(382.84*E179*F179)/100</f>
        <v>0</v>
      </c>
      <c r="H179" s="35">
        <f t="shared" si="41"/>
        <v>0</v>
      </c>
      <c r="I179" s="35">
        <f t="shared" si="42"/>
        <v>0</v>
      </c>
      <c r="J179" s="35">
        <f>(31.57*E179*F179)/100</f>
        <v>0</v>
      </c>
      <c r="K179" s="22">
        <f t="shared" si="43"/>
        <v>0</v>
      </c>
      <c r="L179" s="22">
        <f t="shared" si="44"/>
        <v>0</v>
      </c>
      <c r="M179" s="22">
        <f t="shared" si="45"/>
        <v>0</v>
      </c>
      <c r="N179" s="102">
        <f t="shared" si="46"/>
        <v>0</v>
      </c>
      <c r="O179" s="112"/>
      <c r="P179" s="112"/>
    </row>
    <row r="180" spans="1:16" ht="18.75">
      <c r="A180" s="61">
        <f t="shared" si="47"/>
        <v>121</v>
      </c>
      <c r="B180" s="60"/>
      <c r="C180" s="19" t="s">
        <v>124</v>
      </c>
      <c r="D180" s="20" t="s">
        <v>137</v>
      </c>
      <c r="E180" s="91"/>
      <c r="F180" s="91">
        <v>1</v>
      </c>
      <c r="G180" s="35">
        <f>(382.84*E180*F180)/100</f>
        <v>0</v>
      </c>
      <c r="H180" s="35">
        <f t="shared" si="41"/>
        <v>0</v>
      </c>
      <c r="I180" s="35">
        <f t="shared" si="42"/>
        <v>0</v>
      </c>
      <c r="J180" s="35">
        <f>(40.1*E180*F180)/100</f>
        <v>0</v>
      </c>
      <c r="K180" s="22">
        <f t="shared" si="43"/>
        <v>0</v>
      </c>
      <c r="L180" s="22">
        <f t="shared" si="44"/>
        <v>0</v>
      </c>
      <c r="M180" s="22">
        <f t="shared" si="45"/>
        <v>0</v>
      </c>
      <c r="N180" s="102">
        <f t="shared" si="46"/>
        <v>0</v>
      </c>
      <c r="O180" s="112"/>
      <c r="P180" s="112"/>
    </row>
    <row r="181" spans="1:16" ht="24">
      <c r="A181" s="61">
        <f t="shared" si="47"/>
        <v>122</v>
      </c>
      <c r="B181" s="60"/>
      <c r="C181" s="19" t="s">
        <v>216</v>
      </c>
      <c r="D181" s="20" t="s">
        <v>160</v>
      </c>
      <c r="E181" s="91"/>
      <c r="F181" s="91">
        <v>1</v>
      </c>
      <c r="G181" s="35">
        <f>(572.17*E181*F181)/100</f>
        <v>0</v>
      </c>
      <c r="H181" s="35">
        <f t="shared" si="41"/>
        <v>0</v>
      </c>
      <c r="I181" s="35">
        <f t="shared" si="42"/>
        <v>0</v>
      </c>
      <c r="J181" s="35">
        <f>(53.24*E181*F181)/100</f>
        <v>0</v>
      </c>
      <c r="K181" s="22">
        <f t="shared" si="43"/>
        <v>0</v>
      </c>
      <c r="L181" s="22">
        <f t="shared" si="44"/>
        <v>0</v>
      </c>
      <c r="M181" s="22">
        <f t="shared" si="45"/>
        <v>0</v>
      </c>
      <c r="N181" s="102">
        <f t="shared" si="46"/>
        <v>0</v>
      </c>
      <c r="O181" s="112"/>
      <c r="P181" s="112"/>
    </row>
    <row r="182" spans="1:16" ht="18.75">
      <c r="A182" s="61">
        <f t="shared" si="47"/>
        <v>123</v>
      </c>
      <c r="B182" s="60"/>
      <c r="C182" s="19" t="s">
        <v>128</v>
      </c>
      <c r="D182" s="20" t="s">
        <v>129</v>
      </c>
      <c r="E182" s="91"/>
      <c r="F182" s="91">
        <v>1</v>
      </c>
      <c r="G182" s="35">
        <f>(551.05*E182*F182)/100</f>
        <v>0</v>
      </c>
      <c r="H182" s="35">
        <f t="shared" si="41"/>
        <v>0</v>
      </c>
      <c r="I182" s="35">
        <f t="shared" si="42"/>
        <v>0</v>
      </c>
      <c r="J182" s="35">
        <f>(40.1*E182*F182)/100</f>
        <v>0</v>
      </c>
      <c r="K182" s="22">
        <f t="shared" si="43"/>
        <v>0</v>
      </c>
      <c r="L182" s="22">
        <f t="shared" si="44"/>
        <v>0</v>
      </c>
      <c r="M182" s="22">
        <f t="shared" si="45"/>
        <v>0</v>
      </c>
      <c r="N182" s="102">
        <f t="shared" si="46"/>
        <v>0</v>
      </c>
      <c r="O182" s="112"/>
      <c r="P182" s="112"/>
    </row>
    <row r="183" spans="1:16" ht="18.75">
      <c r="A183" s="61">
        <f t="shared" si="47"/>
        <v>124</v>
      </c>
      <c r="B183" s="60"/>
      <c r="C183" s="19" t="s">
        <v>130</v>
      </c>
      <c r="D183" s="20" t="s">
        <v>129</v>
      </c>
      <c r="E183" s="91"/>
      <c r="F183" s="91">
        <v>1</v>
      </c>
      <c r="G183" s="35">
        <f>(551.05*E183*F183)/100</f>
        <v>0</v>
      </c>
      <c r="H183" s="35">
        <f>(0*E183*F183)/100</f>
        <v>0</v>
      </c>
      <c r="I183" s="35">
        <f>(E183*F183*0)/100</f>
        <v>0</v>
      </c>
      <c r="J183" s="35">
        <f>(31.57*E183*F183)/100</f>
        <v>0</v>
      </c>
      <c r="K183" s="22">
        <f>((G183+I183)*$K$12)</f>
        <v>0</v>
      </c>
      <c r="L183" s="22">
        <f>(SUM(G183:K183)*$L$12)</f>
        <v>0</v>
      </c>
      <c r="M183" s="22">
        <f>(SUM(G183:L183)*$M$12)</f>
        <v>0</v>
      </c>
      <c r="N183" s="102">
        <f>ROUND(G183+H183+J183+K183+L183+M183,2)</f>
        <v>0</v>
      </c>
      <c r="O183" s="112"/>
      <c r="P183" s="112"/>
    </row>
    <row r="184" spans="1:16" ht="24">
      <c r="A184" s="61">
        <f t="shared" si="47"/>
        <v>125</v>
      </c>
      <c r="B184" s="60"/>
      <c r="C184" s="19" t="s">
        <v>133</v>
      </c>
      <c r="D184" s="20" t="s">
        <v>134</v>
      </c>
      <c r="E184" s="91"/>
      <c r="F184" s="91">
        <v>1</v>
      </c>
      <c r="G184" s="35">
        <f>(459.42*E184*F184)/100</f>
        <v>0</v>
      </c>
      <c r="H184" s="35">
        <f t="shared" si="41"/>
        <v>0</v>
      </c>
      <c r="I184" s="35">
        <f t="shared" si="42"/>
        <v>0</v>
      </c>
      <c r="J184" s="35">
        <f>(40.1*E184*F184)/100</f>
        <v>0</v>
      </c>
      <c r="K184" s="22">
        <f t="shared" si="43"/>
        <v>0</v>
      </c>
      <c r="L184" s="22">
        <f t="shared" si="44"/>
        <v>0</v>
      </c>
      <c r="M184" s="22">
        <f t="shared" si="45"/>
        <v>0</v>
      </c>
      <c r="N184" s="102">
        <f t="shared" si="46"/>
        <v>0</v>
      </c>
      <c r="O184" s="112"/>
      <c r="P184" s="112"/>
    </row>
    <row r="185" spans="1:16" ht="24">
      <c r="A185" s="61">
        <f t="shared" si="47"/>
        <v>126</v>
      </c>
      <c r="B185" s="60"/>
      <c r="C185" s="19" t="s">
        <v>135</v>
      </c>
      <c r="D185" s="20" t="s">
        <v>134</v>
      </c>
      <c r="E185" s="91"/>
      <c r="F185" s="91">
        <v>1</v>
      </c>
      <c r="G185" s="35">
        <f>(459.42*E185*F185)/100</f>
        <v>0</v>
      </c>
      <c r="H185" s="35">
        <f t="shared" si="41"/>
        <v>0</v>
      </c>
      <c r="I185" s="35">
        <f t="shared" si="42"/>
        <v>0</v>
      </c>
      <c r="J185" s="35">
        <f>(31.57*E185*F185)/100</f>
        <v>0</v>
      </c>
      <c r="K185" s="22">
        <f t="shared" si="43"/>
        <v>0</v>
      </c>
      <c r="L185" s="22">
        <f t="shared" si="44"/>
        <v>0</v>
      </c>
      <c r="M185" s="22">
        <f t="shared" si="45"/>
        <v>0</v>
      </c>
      <c r="N185" s="102">
        <f t="shared" si="46"/>
        <v>0</v>
      </c>
      <c r="O185" s="112"/>
      <c r="P185" s="112"/>
    </row>
    <row r="186" spans="1:16" ht="72">
      <c r="A186" s="61">
        <f t="shared" si="47"/>
        <v>127</v>
      </c>
      <c r="B186" s="60"/>
      <c r="C186" s="19" t="s">
        <v>320</v>
      </c>
      <c r="D186" s="20" t="s">
        <v>131</v>
      </c>
      <c r="E186" s="91"/>
      <c r="F186" s="91">
        <v>1</v>
      </c>
      <c r="G186" s="35">
        <f>(340.78*E186*F186)/100</f>
        <v>0</v>
      </c>
      <c r="H186" s="35">
        <f t="shared" si="41"/>
        <v>0</v>
      </c>
      <c r="I186" s="35">
        <f t="shared" si="42"/>
        <v>0</v>
      </c>
      <c r="J186" s="35">
        <f>(40.1*E186*F186)/100</f>
        <v>0</v>
      </c>
      <c r="K186" s="22">
        <f t="shared" si="43"/>
        <v>0</v>
      </c>
      <c r="L186" s="22">
        <f t="shared" si="44"/>
        <v>0</v>
      </c>
      <c r="M186" s="22">
        <f t="shared" si="45"/>
        <v>0</v>
      </c>
      <c r="N186" s="102">
        <f t="shared" si="46"/>
        <v>0</v>
      </c>
      <c r="O186" s="112"/>
      <c r="P186" s="112"/>
    </row>
    <row r="187" spans="1:16" ht="72">
      <c r="A187" s="61">
        <f t="shared" si="47"/>
        <v>128</v>
      </c>
      <c r="B187" s="60"/>
      <c r="C187" s="19" t="s">
        <v>321</v>
      </c>
      <c r="D187" s="20" t="s">
        <v>132</v>
      </c>
      <c r="E187" s="91"/>
      <c r="F187" s="91">
        <v>1</v>
      </c>
      <c r="G187" s="35">
        <f>(340.78*E187*F187)/100</f>
        <v>0</v>
      </c>
      <c r="H187" s="35">
        <f t="shared" si="41"/>
        <v>0</v>
      </c>
      <c r="I187" s="35">
        <f t="shared" si="42"/>
        <v>0</v>
      </c>
      <c r="J187" s="35">
        <f>(31.57*E187*F187)/100</f>
        <v>0</v>
      </c>
      <c r="K187" s="22">
        <f t="shared" si="43"/>
        <v>0</v>
      </c>
      <c r="L187" s="22">
        <f t="shared" si="44"/>
        <v>0</v>
      </c>
      <c r="M187" s="22">
        <f t="shared" si="45"/>
        <v>0</v>
      </c>
      <c r="N187" s="102">
        <f t="shared" si="46"/>
        <v>0</v>
      </c>
      <c r="O187" s="112"/>
      <c r="P187" s="112"/>
    </row>
    <row r="188" spans="1:16" ht="24">
      <c r="A188" s="61">
        <f t="shared" si="47"/>
        <v>129</v>
      </c>
      <c r="B188" s="60"/>
      <c r="C188" s="19" t="s">
        <v>125</v>
      </c>
      <c r="D188" s="20" t="s">
        <v>126</v>
      </c>
      <c r="E188" s="91"/>
      <c r="F188" s="91">
        <v>1</v>
      </c>
      <c r="G188" s="35">
        <f>(270.1*E188*F188)/100</f>
        <v>0</v>
      </c>
      <c r="H188" s="35">
        <f t="shared" si="41"/>
        <v>0</v>
      </c>
      <c r="I188" s="35">
        <f t="shared" si="42"/>
        <v>0</v>
      </c>
      <c r="J188" s="35">
        <f>(40.1*E188*F188)/100</f>
        <v>0</v>
      </c>
      <c r="K188" s="22">
        <f t="shared" si="43"/>
        <v>0</v>
      </c>
      <c r="L188" s="22">
        <f t="shared" si="44"/>
        <v>0</v>
      </c>
      <c r="M188" s="22">
        <f t="shared" si="45"/>
        <v>0</v>
      </c>
      <c r="N188" s="102">
        <f t="shared" si="46"/>
        <v>0</v>
      </c>
      <c r="O188" s="112"/>
      <c r="P188" s="112"/>
    </row>
    <row r="189" spans="1:16" ht="24">
      <c r="A189" s="61">
        <f t="shared" si="47"/>
        <v>130</v>
      </c>
      <c r="B189" s="60"/>
      <c r="C189" s="19" t="s">
        <v>127</v>
      </c>
      <c r="D189" s="20" t="s">
        <v>126</v>
      </c>
      <c r="E189" s="91"/>
      <c r="F189" s="91">
        <v>1</v>
      </c>
      <c r="G189" s="35">
        <f>(270.1*E189*F189)/100</f>
        <v>0</v>
      </c>
      <c r="H189" s="35">
        <f t="shared" si="41"/>
        <v>0</v>
      </c>
      <c r="I189" s="35">
        <f t="shared" si="42"/>
        <v>0</v>
      </c>
      <c r="J189" s="35">
        <f>(31.57*E189*F189)/100</f>
        <v>0</v>
      </c>
      <c r="K189" s="22">
        <f t="shared" si="43"/>
        <v>0</v>
      </c>
      <c r="L189" s="22">
        <f t="shared" si="44"/>
        <v>0</v>
      </c>
      <c r="M189" s="22">
        <f t="shared" si="45"/>
        <v>0</v>
      </c>
      <c r="N189" s="102">
        <f t="shared" si="46"/>
        <v>0</v>
      </c>
      <c r="O189" s="112"/>
      <c r="P189" s="112"/>
    </row>
    <row r="190" spans="1:16" ht="18.75">
      <c r="A190" s="61">
        <f t="shared" si="47"/>
        <v>131</v>
      </c>
      <c r="B190" s="60"/>
      <c r="C190" s="19" t="s">
        <v>322</v>
      </c>
      <c r="D190" s="20" t="s">
        <v>161</v>
      </c>
      <c r="E190" s="91"/>
      <c r="F190" s="91">
        <v>1</v>
      </c>
      <c r="G190" s="35">
        <f>(576.38*E190*F190)/100</f>
        <v>0</v>
      </c>
      <c r="H190" s="35">
        <f t="shared" si="41"/>
        <v>0</v>
      </c>
      <c r="I190" s="35">
        <f t="shared" si="42"/>
        <v>0</v>
      </c>
      <c r="J190" s="35">
        <f>(41.4*E190*F190)/100</f>
        <v>0</v>
      </c>
      <c r="K190" s="22">
        <f t="shared" si="43"/>
        <v>0</v>
      </c>
      <c r="L190" s="22">
        <f t="shared" si="44"/>
        <v>0</v>
      </c>
      <c r="M190" s="22">
        <f t="shared" si="45"/>
        <v>0</v>
      </c>
      <c r="N190" s="102">
        <f t="shared" si="46"/>
        <v>0</v>
      </c>
      <c r="O190" s="112"/>
      <c r="P190" s="112"/>
    </row>
    <row r="191" spans="1:16" ht="36">
      <c r="A191" s="61">
        <f t="shared" si="47"/>
        <v>132</v>
      </c>
      <c r="B191" s="60"/>
      <c r="C191" s="19" t="s">
        <v>275</v>
      </c>
      <c r="D191" s="20" t="s">
        <v>138</v>
      </c>
      <c r="E191" s="91"/>
      <c r="F191" s="91">
        <v>1</v>
      </c>
      <c r="G191" s="35">
        <f>(719.43*E191*F191)/100</f>
        <v>0</v>
      </c>
      <c r="H191" s="35">
        <f t="shared" si="41"/>
        <v>0</v>
      </c>
      <c r="I191" s="35">
        <f t="shared" si="42"/>
        <v>0</v>
      </c>
      <c r="J191" s="35">
        <f>(40.1*E191*F191)/100</f>
        <v>0</v>
      </c>
      <c r="K191" s="22">
        <f t="shared" si="43"/>
        <v>0</v>
      </c>
      <c r="L191" s="22">
        <f t="shared" si="44"/>
        <v>0</v>
      </c>
      <c r="M191" s="22">
        <f t="shared" si="45"/>
        <v>0</v>
      </c>
      <c r="N191" s="102">
        <f t="shared" si="46"/>
        <v>0</v>
      </c>
      <c r="O191" s="112"/>
      <c r="P191" s="112"/>
    </row>
    <row r="192" spans="1:16" ht="18.75">
      <c r="A192" s="61">
        <f t="shared" si="47"/>
        <v>133</v>
      </c>
      <c r="B192" s="60"/>
      <c r="C192" s="19" t="s">
        <v>217</v>
      </c>
      <c r="D192" s="20" t="s">
        <v>141</v>
      </c>
      <c r="E192" s="91"/>
      <c r="F192" s="91">
        <v>1</v>
      </c>
      <c r="G192" s="35">
        <f>(227.19*E192*F192)/100</f>
        <v>0</v>
      </c>
      <c r="H192" s="35">
        <f t="shared" si="41"/>
        <v>0</v>
      </c>
      <c r="I192" s="35">
        <f t="shared" si="42"/>
        <v>0</v>
      </c>
      <c r="J192" s="35">
        <f>(4.27*E192*F192)/100</f>
        <v>0</v>
      </c>
      <c r="K192" s="22">
        <f t="shared" si="43"/>
        <v>0</v>
      </c>
      <c r="L192" s="22">
        <f t="shared" si="44"/>
        <v>0</v>
      </c>
      <c r="M192" s="22">
        <f t="shared" si="45"/>
        <v>0</v>
      </c>
      <c r="N192" s="102">
        <f t="shared" si="46"/>
        <v>0</v>
      </c>
      <c r="O192" s="112"/>
      <c r="P192" s="112"/>
    </row>
    <row r="193" spans="1:16" ht="18.75">
      <c r="A193" s="61"/>
      <c r="B193" s="60"/>
      <c r="C193" s="19" t="s">
        <v>323</v>
      </c>
      <c r="D193" s="20"/>
      <c r="E193" s="91"/>
      <c r="F193" s="91"/>
      <c r="G193" s="35"/>
      <c r="H193" s="35"/>
      <c r="I193" s="35"/>
      <c r="J193" s="35"/>
      <c r="K193" s="22"/>
      <c r="L193" s="22"/>
      <c r="M193" s="22"/>
      <c r="N193" s="102"/>
      <c r="O193" s="112"/>
      <c r="P193" s="112"/>
    </row>
    <row r="194" spans="1:16" ht="24">
      <c r="A194" s="61">
        <v>134</v>
      </c>
      <c r="B194" s="60"/>
      <c r="C194" s="19" t="s">
        <v>142</v>
      </c>
      <c r="D194" s="20" t="s">
        <v>162</v>
      </c>
      <c r="E194" s="91"/>
      <c r="F194" s="91">
        <v>1</v>
      </c>
      <c r="G194" s="35">
        <f>(551.14*E194*F194)/100</f>
        <v>0</v>
      </c>
      <c r="H194" s="35">
        <f t="shared" si="41"/>
        <v>0</v>
      </c>
      <c r="I194" s="35">
        <f t="shared" si="42"/>
        <v>0</v>
      </c>
      <c r="J194" s="35">
        <f>(41.38*E194*F194)/100</f>
        <v>0</v>
      </c>
      <c r="K194" s="22">
        <f>((G194+I194)*$K$12)</f>
        <v>0</v>
      </c>
      <c r="L194" s="22">
        <f>(SUM(G194:K194)*$L$12)</f>
        <v>0</v>
      </c>
      <c r="M194" s="22">
        <f>(SUM(G194:L194)*$M$12)</f>
        <v>0</v>
      </c>
      <c r="N194" s="102">
        <f aca="true" t="shared" si="48" ref="N194:N200">ROUND(G194+H194+J194+K194+L194+M194,2)</f>
        <v>0</v>
      </c>
      <c r="O194" s="112"/>
      <c r="P194" s="112"/>
    </row>
    <row r="195" spans="1:16" ht="18.75">
      <c r="A195" s="61">
        <f>A194+1</f>
        <v>135</v>
      </c>
      <c r="B195" s="60"/>
      <c r="C195" s="19" t="s">
        <v>143</v>
      </c>
      <c r="D195" s="20" t="s">
        <v>163</v>
      </c>
      <c r="E195" s="91"/>
      <c r="F195" s="91">
        <v>1</v>
      </c>
      <c r="G195" s="35">
        <f>(845.64*E195*F195)/100</f>
        <v>0</v>
      </c>
      <c r="H195" s="35">
        <f t="shared" si="41"/>
        <v>0</v>
      </c>
      <c r="I195" s="35">
        <f t="shared" si="42"/>
        <v>0</v>
      </c>
      <c r="J195" s="35">
        <f>(52.67*E195*F195)/100</f>
        <v>0</v>
      </c>
      <c r="K195" s="22">
        <f>((G195+I195)*$K$12)</f>
        <v>0</v>
      </c>
      <c r="L195" s="22">
        <f>(SUM(G195:K195)*$L$12)</f>
        <v>0</v>
      </c>
      <c r="M195" s="22">
        <f>(SUM(G195:L195)*$M$12)</f>
        <v>0</v>
      </c>
      <c r="N195" s="102">
        <f t="shared" si="48"/>
        <v>0</v>
      </c>
      <c r="O195" s="112"/>
      <c r="P195" s="112"/>
    </row>
    <row r="196" spans="1:16" ht="18.75">
      <c r="A196" s="61">
        <f>A195+1</f>
        <v>136</v>
      </c>
      <c r="B196" s="60"/>
      <c r="C196" s="19" t="s">
        <v>144</v>
      </c>
      <c r="D196" s="20" t="s">
        <v>163</v>
      </c>
      <c r="E196" s="91"/>
      <c r="F196" s="91">
        <v>1</v>
      </c>
      <c r="G196" s="35">
        <f>(1114.9*E196*F196)/100</f>
        <v>0</v>
      </c>
      <c r="H196" s="35">
        <f t="shared" si="41"/>
        <v>0</v>
      </c>
      <c r="I196" s="35">
        <f t="shared" si="42"/>
        <v>0</v>
      </c>
      <c r="J196" s="35">
        <f>(41.91*E196*F196)/100</f>
        <v>0</v>
      </c>
      <c r="K196" s="22">
        <f>((G196+I196)*$K$12)</f>
        <v>0</v>
      </c>
      <c r="L196" s="22">
        <f>(SUM(G196:K196)*$L$12)</f>
        <v>0</v>
      </c>
      <c r="M196" s="22">
        <f>(SUM(G196:L196)*$M$12)</f>
        <v>0</v>
      </c>
      <c r="N196" s="102">
        <f t="shared" si="48"/>
        <v>0</v>
      </c>
      <c r="O196" s="112"/>
      <c r="P196" s="112"/>
    </row>
    <row r="197" spans="1:16" ht="15" customHeight="1">
      <c r="A197" s="61"/>
      <c r="B197" s="60"/>
      <c r="C197" s="19"/>
      <c r="D197" s="20"/>
      <c r="E197" s="91"/>
      <c r="F197" s="91"/>
      <c r="G197" s="35"/>
      <c r="H197" s="35"/>
      <c r="I197" s="35"/>
      <c r="J197" s="35"/>
      <c r="K197" s="22"/>
      <c r="L197" s="23"/>
      <c r="M197" s="22"/>
      <c r="N197" s="102"/>
      <c r="O197" s="112"/>
      <c r="P197" s="112"/>
    </row>
    <row r="198" spans="1:16" ht="24">
      <c r="A198" s="61">
        <v>137</v>
      </c>
      <c r="B198" s="60"/>
      <c r="C198" s="19" t="s">
        <v>139</v>
      </c>
      <c r="D198" s="20" t="s">
        <v>140</v>
      </c>
      <c r="E198" s="91"/>
      <c r="F198" s="91">
        <v>1</v>
      </c>
      <c r="G198" s="35">
        <f>(265.05*E198*F198)/100</f>
        <v>0</v>
      </c>
      <c r="H198" s="35">
        <f t="shared" si="41"/>
        <v>0</v>
      </c>
      <c r="I198" s="35">
        <f t="shared" si="42"/>
        <v>0</v>
      </c>
      <c r="J198" s="35">
        <f>(8.27*E198*F198)/100</f>
        <v>0</v>
      </c>
      <c r="K198" s="22">
        <f>((G198+I198)*$K$12)</f>
        <v>0</v>
      </c>
      <c r="L198" s="23">
        <f>(SUM(G198:K198)*$L$12)</f>
        <v>0</v>
      </c>
      <c r="M198" s="22">
        <f>(SUM(G198:L198)*$M$12)</f>
        <v>0</v>
      </c>
      <c r="N198" s="102">
        <f t="shared" si="48"/>
        <v>0</v>
      </c>
      <c r="O198" s="112"/>
      <c r="P198" s="112"/>
    </row>
    <row r="199" spans="1:16" ht="33.75" customHeight="1">
      <c r="A199" s="61">
        <f>A198+1</f>
        <v>138</v>
      </c>
      <c r="B199" s="60"/>
      <c r="C199" s="19" t="s">
        <v>150</v>
      </c>
      <c r="D199" s="20" t="s">
        <v>276</v>
      </c>
      <c r="E199" s="91"/>
      <c r="F199" s="91"/>
      <c r="G199" s="35"/>
      <c r="H199" s="35"/>
      <c r="I199" s="35"/>
      <c r="J199" s="35"/>
      <c r="K199" s="35"/>
      <c r="L199" s="35"/>
      <c r="M199" s="35"/>
      <c r="N199" s="102">
        <f>ROUND(G199+H199+J199+K199+L199+M199,2)</f>
        <v>0</v>
      </c>
      <c r="O199" s="112"/>
      <c r="P199" s="112"/>
    </row>
    <row r="200" spans="1:16" ht="45.75" customHeight="1">
      <c r="A200" s="61">
        <f>A199+1</f>
        <v>139</v>
      </c>
      <c r="B200" s="60"/>
      <c r="C200" s="19" t="s">
        <v>151</v>
      </c>
      <c r="D200" s="20" t="s">
        <v>276</v>
      </c>
      <c r="E200" s="91"/>
      <c r="F200" s="91"/>
      <c r="G200" s="35"/>
      <c r="H200" s="35"/>
      <c r="I200" s="35"/>
      <c r="J200" s="35"/>
      <c r="K200" s="35"/>
      <c r="L200" s="35"/>
      <c r="M200" s="35"/>
      <c r="N200" s="102">
        <f t="shared" si="48"/>
        <v>0</v>
      </c>
      <c r="O200" s="112"/>
      <c r="P200" s="112"/>
    </row>
    <row r="201" spans="1:16" ht="15" customHeight="1">
      <c r="A201" s="64" t="s">
        <v>278</v>
      </c>
      <c r="B201" s="52" t="s">
        <v>218</v>
      </c>
      <c r="C201" s="63" t="s">
        <v>277</v>
      </c>
      <c r="D201" s="53"/>
      <c r="E201" s="59"/>
      <c r="F201" s="59"/>
      <c r="G201" s="59"/>
      <c r="H201" s="59"/>
      <c r="I201" s="59"/>
      <c r="J201" s="59"/>
      <c r="K201" s="59"/>
      <c r="L201" s="59"/>
      <c r="M201" s="59"/>
      <c r="N201" s="103"/>
      <c r="O201" s="112"/>
      <c r="P201" s="112"/>
    </row>
    <row r="202" spans="1:16" ht="18.75">
      <c r="A202" s="61">
        <v>140</v>
      </c>
      <c r="B202" s="60"/>
      <c r="C202" s="19" t="s">
        <v>219</v>
      </c>
      <c r="D202" s="20" t="s">
        <v>220</v>
      </c>
      <c r="E202" s="91"/>
      <c r="F202" s="91">
        <v>1</v>
      </c>
      <c r="G202" s="100">
        <f>(252.43*E202*F202)/100</f>
        <v>0</v>
      </c>
      <c r="H202" s="35">
        <f>(0*E202*F202)/100</f>
        <v>0</v>
      </c>
      <c r="I202" s="35">
        <f>(E202*F202*0)/100</f>
        <v>0</v>
      </c>
      <c r="J202" s="35">
        <f>(0.51*E202*F202)/100</f>
        <v>0</v>
      </c>
      <c r="K202" s="22">
        <f>((G202+I202)*$K$12)</f>
        <v>0</v>
      </c>
      <c r="L202" s="22">
        <f>(SUM(G202:K202)*$L$12)</f>
        <v>0</v>
      </c>
      <c r="M202" s="22">
        <f>(SUM(G202:L202)*$M$12)</f>
        <v>0</v>
      </c>
      <c r="N202" s="102">
        <f>ROUND(G202+H202+J202+K202+L202+M202,2)</f>
        <v>0</v>
      </c>
      <c r="O202" s="112"/>
      <c r="P202" s="112"/>
    </row>
    <row r="203" spans="1:16" ht="18.75">
      <c r="A203" s="61">
        <f>A202+1</f>
        <v>141</v>
      </c>
      <c r="B203" s="60"/>
      <c r="C203" s="19" t="s">
        <v>221</v>
      </c>
      <c r="D203" s="20" t="s">
        <v>220</v>
      </c>
      <c r="E203" s="91"/>
      <c r="F203" s="91">
        <v>1</v>
      </c>
      <c r="G203" s="35">
        <f>(446.04*E203*F203)/100</f>
        <v>0</v>
      </c>
      <c r="H203" s="35">
        <f>(0*E203*F203)/100</f>
        <v>0</v>
      </c>
      <c r="I203" s="35">
        <f>(E203*F203*0)/100</f>
        <v>0</v>
      </c>
      <c r="J203" s="35">
        <f>(97.23*E203*F203)/100</f>
        <v>0</v>
      </c>
      <c r="K203" s="22">
        <f>((G203+I203)*$K$12)</f>
        <v>0</v>
      </c>
      <c r="L203" s="22">
        <f>(SUM(G203:K203)*$L$12)</f>
        <v>0</v>
      </c>
      <c r="M203" s="22">
        <f>(SUM(G203:L203)*$M$12)</f>
        <v>0</v>
      </c>
      <c r="N203" s="102">
        <f>ROUND(G203+H203+J203+K203+L203+M203,2)</f>
        <v>0</v>
      </c>
      <c r="O203" s="112"/>
      <c r="P203" s="112"/>
    </row>
    <row r="204" spans="1:16" ht="18.75">
      <c r="A204" s="61">
        <f>A203+1</f>
        <v>142</v>
      </c>
      <c r="B204" s="60"/>
      <c r="C204" s="19" t="s">
        <v>222</v>
      </c>
      <c r="D204" s="20" t="s">
        <v>220</v>
      </c>
      <c r="E204" s="91"/>
      <c r="F204" s="91">
        <v>1</v>
      </c>
      <c r="G204" s="35">
        <f>(382.84*E204*F204)/100</f>
        <v>0</v>
      </c>
      <c r="H204" s="35">
        <f>(0*E204*F204)/100</f>
        <v>0</v>
      </c>
      <c r="I204" s="35">
        <f>(E204*F204*0)/100</f>
        <v>0</v>
      </c>
      <c r="J204" s="35">
        <f>(40.1*E204*F204)/100</f>
        <v>0</v>
      </c>
      <c r="K204" s="22">
        <f>((G204+I204)*$K$12)</f>
        <v>0</v>
      </c>
      <c r="L204" s="22">
        <f>(SUM(G204:K204)*$L$12)</f>
        <v>0</v>
      </c>
      <c r="M204" s="22">
        <f>(SUM(G204:L204)*$M$12)</f>
        <v>0</v>
      </c>
      <c r="N204" s="102">
        <f>ROUND(G204+H204+J204+K204+L204+M204,2)</f>
        <v>0</v>
      </c>
      <c r="O204" s="112"/>
      <c r="P204" s="112"/>
    </row>
    <row r="205" spans="1:16" ht="18.75">
      <c r="A205" s="61">
        <f>A204+1</f>
        <v>143</v>
      </c>
      <c r="B205" s="60"/>
      <c r="C205" s="19" t="s">
        <v>223</v>
      </c>
      <c r="D205" s="20" t="s">
        <v>220</v>
      </c>
      <c r="E205" s="91"/>
      <c r="F205" s="91">
        <v>1</v>
      </c>
      <c r="G205" s="35">
        <f>(446.04*E205*F205)/100</f>
        <v>0</v>
      </c>
      <c r="H205" s="35">
        <f>(0*E205*F205)/100</f>
        <v>0</v>
      </c>
      <c r="I205" s="35">
        <f>(E205*F205*0)/100</f>
        <v>0</v>
      </c>
      <c r="J205" s="35">
        <f>(97.23*E205*F205)/100</f>
        <v>0</v>
      </c>
      <c r="K205" s="22">
        <f>((G205+I205)*$K$12)</f>
        <v>0</v>
      </c>
      <c r="L205" s="22">
        <f>(SUM(G205:K205)*$L$12)</f>
        <v>0</v>
      </c>
      <c r="M205" s="22">
        <f>(SUM(G205:L205)*$M$12)</f>
        <v>0</v>
      </c>
      <c r="N205" s="102">
        <f>ROUND(G205+H205+J205+K205+L205+M205,2)</f>
        <v>0</v>
      </c>
      <c r="O205" s="112"/>
      <c r="P205" s="112"/>
    </row>
    <row r="206" spans="1:16" s="30" customFormat="1" ht="18" customHeight="1">
      <c r="A206" s="25"/>
      <c r="B206" s="26"/>
      <c r="C206" s="27" t="s">
        <v>164</v>
      </c>
      <c r="D206" s="28"/>
      <c r="E206" s="40"/>
      <c r="F206" s="41"/>
      <c r="G206" s="29">
        <f aca="true" t="shared" si="49" ref="G206:M206">SUM(G155:G205)</f>
        <v>0</v>
      </c>
      <c r="H206" s="29">
        <f t="shared" si="49"/>
        <v>0</v>
      </c>
      <c r="I206" s="29">
        <f t="shared" si="49"/>
        <v>0</v>
      </c>
      <c r="J206" s="29">
        <f t="shared" si="49"/>
        <v>0</v>
      </c>
      <c r="K206" s="29">
        <f t="shared" si="49"/>
        <v>0</v>
      </c>
      <c r="L206" s="29">
        <f t="shared" si="49"/>
        <v>0</v>
      </c>
      <c r="M206" s="29">
        <f t="shared" si="49"/>
        <v>0</v>
      </c>
      <c r="N206" s="102">
        <f>SUM(N155:N205)</f>
        <v>0</v>
      </c>
      <c r="O206" s="139"/>
      <c r="P206" s="139"/>
    </row>
    <row r="207" spans="1:16" ht="40.5" customHeight="1">
      <c r="A207" s="132" t="s">
        <v>342</v>
      </c>
      <c r="B207" s="133"/>
      <c r="C207" s="133"/>
      <c r="D207" s="133"/>
      <c r="E207" s="133"/>
      <c r="F207" s="133"/>
      <c r="G207" s="133"/>
      <c r="H207" s="133"/>
      <c r="I207" s="133"/>
      <c r="J207" s="133"/>
      <c r="K207" s="133"/>
      <c r="L207" s="133"/>
      <c r="M207" s="133"/>
      <c r="N207" s="103"/>
      <c r="O207" s="112"/>
      <c r="P207" s="112"/>
    </row>
    <row r="208" spans="1:16" ht="15" customHeight="1">
      <c r="A208" s="52" t="s">
        <v>289</v>
      </c>
      <c r="B208" s="53"/>
      <c r="C208" s="63" t="s">
        <v>290</v>
      </c>
      <c r="D208" s="53"/>
      <c r="E208" s="59"/>
      <c r="F208" s="59"/>
      <c r="G208" s="59"/>
      <c r="H208" s="59"/>
      <c r="I208" s="59"/>
      <c r="J208" s="59"/>
      <c r="K208" s="59"/>
      <c r="L208" s="59"/>
      <c r="M208" s="59"/>
      <c r="N208" s="103"/>
      <c r="O208" s="112"/>
      <c r="P208" s="112"/>
    </row>
    <row r="209" spans="1:16" ht="27" customHeight="1">
      <c r="A209" s="61">
        <v>144</v>
      </c>
      <c r="B209" s="60"/>
      <c r="C209" s="19" t="s">
        <v>324</v>
      </c>
      <c r="D209" s="20" t="s">
        <v>145</v>
      </c>
      <c r="E209" s="91"/>
      <c r="F209" s="91">
        <v>1</v>
      </c>
      <c r="G209" s="35">
        <f>(5831*E209*F209)/10000</f>
        <v>0</v>
      </c>
      <c r="H209" s="35">
        <f>(0*E209*F209)/10000</f>
        <v>0</v>
      </c>
      <c r="I209" s="35">
        <f>(E209*F209*0)/10000</f>
        <v>0</v>
      </c>
      <c r="J209" s="35">
        <f>(63*E209*F209)/10000</f>
        <v>0</v>
      </c>
      <c r="K209" s="22">
        <f>((G209+I209)*$K$12)</f>
        <v>0</v>
      </c>
      <c r="L209" s="22">
        <f>(SUM(G209:K209)*$L$12)</f>
        <v>0</v>
      </c>
      <c r="M209" s="22">
        <f>(SUM(G209:L209)*$M$12)</f>
        <v>0</v>
      </c>
      <c r="N209" s="102">
        <f>ROUND(G209+H209+J209+K209+L209+M209,2)</f>
        <v>0</v>
      </c>
      <c r="O209" s="112"/>
      <c r="P209" s="112"/>
    </row>
    <row r="210" spans="1:16" ht="27" customHeight="1">
      <c r="A210" s="61">
        <f>A209+1</f>
        <v>145</v>
      </c>
      <c r="B210" s="60"/>
      <c r="C210" s="19" t="s">
        <v>325</v>
      </c>
      <c r="D210" s="20" t="s">
        <v>145</v>
      </c>
      <c r="E210" s="91"/>
      <c r="F210" s="91">
        <v>1</v>
      </c>
      <c r="G210" s="22">
        <f>(25410*E210*F210)/10000</f>
        <v>0</v>
      </c>
      <c r="H210" s="35">
        <f>(0*E210*F210)/10000</f>
        <v>0</v>
      </c>
      <c r="I210" s="35">
        <f>(E210*F210*0)/10000</f>
        <v>0</v>
      </c>
      <c r="J210" s="35">
        <f>(299*E210*F210)/10000</f>
        <v>0</v>
      </c>
      <c r="K210" s="22">
        <f>((G210+I210)*$K$12)</f>
        <v>0</v>
      </c>
      <c r="L210" s="22">
        <f>(SUM(G210:K210)*$L$12)</f>
        <v>0</v>
      </c>
      <c r="M210" s="22">
        <f>(SUM(G210:L210)*$M$12)</f>
        <v>0</v>
      </c>
      <c r="N210" s="102">
        <f>ROUND(G210+H210+J210+K210+L210+M210,2)</f>
        <v>0</v>
      </c>
      <c r="O210" s="112"/>
      <c r="P210" s="112"/>
    </row>
    <row r="211" spans="1:16" ht="18" customHeight="1">
      <c r="A211" s="61">
        <f>A210+1</f>
        <v>146</v>
      </c>
      <c r="B211" s="60"/>
      <c r="C211" s="19" t="s">
        <v>326</v>
      </c>
      <c r="D211" s="20" t="s">
        <v>146</v>
      </c>
      <c r="E211" s="91"/>
      <c r="F211" s="91">
        <v>1</v>
      </c>
      <c r="G211" s="35">
        <f>(53.98*E211*F211)/100</f>
        <v>0</v>
      </c>
      <c r="H211" s="35">
        <f>(0*E211*F211)/100</f>
        <v>0</v>
      </c>
      <c r="I211" s="35">
        <f>(E211*F211*0)/100</f>
        <v>0</v>
      </c>
      <c r="J211" s="35">
        <f>(10.68*E211*F211)/100</f>
        <v>0</v>
      </c>
      <c r="K211" s="22">
        <f>((G211+I211)*$K$12)</f>
        <v>0</v>
      </c>
      <c r="L211" s="22">
        <f>(SUM(G211:K211)*$L$12)</f>
        <v>0</v>
      </c>
      <c r="M211" s="22">
        <f>(SUM(G211:L211)*$M$12)</f>
        <v>0</v>
      </c>
      <c r="N211" s="102">
        <f>ROUND(G211+H211+J211+K211+L211+M211,2)</f>
        <v>0</v>
      </c>
      <c r="O211" s="112"/>
      <c r="P211" s="112"/>
    </row>
    <row r="212" spans="1:16" ht="15" customHeight="1">
      <c r="A212" s="52" t="s">
        <v>287</v>
      </c>
      <c r="B212" s="53"/>
      <c r="C212" s="63" t="s">
        <v>288</v>
      </c>
      <c r="D212" s="53"/>
      <c r="E212" s="59"/>
      <c r="F212" s="59"/>
      <c r="G212" s="59"/>
      <c r="H212" s="59"/>
      <c r="I212" s="59"/>
      <c r="J212" s="59"/>
      <c r="K212" s="59"/>
      <c r="L212" s="101"/>
      <c r="M212" s="59"/>
      <c r="N212" s="103"/>
      <c r="O212" s="112"/>
      <c r="P212" s="112"/>
    </row>
    <row r="213" spans="1:16" ht="27" customHeight="1">
      <c r="A213" s="61">
        <v>147</v>
      </c>
      <c r="B213" s="60"/>
      <c r="C213" s="19" t="s">
        <v>224</v>
      </c>
      <c r="D213" s="20" t="s">
        <v>227</v>
      </c>
      <c r="E213" s="91"/>
      <c r="F213" s="91">
        <v>1</v>
      </c>
      <c r="G213" s="35">
        <f>(5831*E213*F213)/10000</f>
        <v>0</v>
      </c>
      <c r="H213" s="35">
        <f>(0*E213*F213)/10000</f>
        <v>0</v>
      </c>
      <c r="I213" s="35">
        <f>(E213*F213*0)/10000</f>
        <v>0</v>
      </c>
      <c r="J213" s="35">
        <f>(63*E213*F213)/10000</f>
        <v>0</v>
      </c>
      <c r="K213" s="22">
        <f>((G213+I213)*$K$12)</f>
        <v>0</v>
      </c>
      <c r="L213" s="22">
        <f>(SUM(G213:K213)*$L$12)</f>
        <v>0</v>
      </c>
      <c r="M213" s="22">
        <f>(SUM(G213:L213)*$M$12)</f>
        <v>0</v>
      </c>
      <c r="N213" s="102">
        <f>ROUND(G213+H213+J213+K213+L213+M213,2)</f>
        <v>0</v>
      </c>
      <c r="O213" s="112"/>
      <c r="P213" s="112"/>
    </row>
    <row r="214" spans="1:16" ht="27" customHeight="1">
      <c r="A214" s="61">
        <v>148</v>
      </c>
      <c r="B214" s="60"/>
      <c r="C214" s="19" t="s">
        <v>225</v>
      </c>
      <c r="D214" s="20" t="s">
        <v>227</v>
      </c>
      <c r="E214" s="91"/>
      <c r="F214" s="91">
        <v>1</v>
      </c>
      <c r="G214" s="35">
        <f>(344.9*E214*F214)/100</f>
        <v>0</v>
      </c>
      <c r="H214" s="35">
        <f>(0*E214*F214)/100</f>
        <v>0</v>
      </c>
      <c r="I214" s="35">
        <f>(E214*F214*0)/100</f>
        <v>0</v>
      </c>
      <c r="J214" s="35">
        <f>(0.63*E214*F214)/100</f>
        <v>0</v>
      </c>
      <c r="K214" s="22">
        <f>((G214+I214)*$K$12)</f>
        <v>0</v>
      </c>
      <c r="L214" s="22">
        <f>(SUM(G214:K214)*$L$12)</f>
        <v>0</v>
      </c>
      <c r="M214" s="22">
        <f>(SUM(G214:L214)*$M$12)</f>
        <v>0</v>
      </c>
      <c r="N214" s="102">
        <f>ROUND(G214+H214+J214+K214+L214+M214,2)</f>
        <v>0</v>
      </c>
      <c r="O214" s="112"/>
      <c r="P214" s="112"/>
    </row>
    <row r="215" spans="1:16" ht="18" customHeight="1">
      <c r="A215" s="61">
        <v>149</v>
      </c>
      <c r="B215" s="60"/>
      <c r="C215" s="19" t="s">
        <v>226</v>
      </c>
      <c r="D215" s="20" t="s">
        <v>227</v>
      </c>
      <c r="E215" s="91"/>
      <c r="F215" s="91">
        <v>1</v>
      </c>
      <c r="G215" s="35">
        <f>(53.98*E215*F215)/100</f>
        <v>0</v>
      </c>
      <c r="H215" s="35">
        <f>(0*E215*F215)/100</f>
        <v>0</v>
      </c>
      <c r="I215" s="35">
        <f>(E215*F215*0)/100</f>
        <v>0</v>
      </c>
      <c r="J215" s="35">
        <f>(10.68*E215*F215)/100</f>
        <v>0</v>
      </c>
      <c r="K215" s="22">
        <f>((G215+I215)*$K$12)</f>
        <v>0</v>
      </c>
      <c r="L215" s="22">
        <f>(SUM(G215:K215)*$L$12)</f>
        <v>0</v>
      </c>
      <c r="M215" s="22">
        <f>(SUM(G215:L215)*$M$12)</f>
        <v>0</v>
      </c>
      <c r="N215" s="102">
        <f>ROUND(G215+H215+J215+K215+L215+M215,2)</f>
        <v>0</v>
      </c>
      <c r="O215" s="112"/>
      <c r="P215" s="112"/>
    </row>
    <row r="216" spans="1:16" ht="15" customHeight="1">
      <c r="A216" s="52" t="s">
        <v>291</v>
      </c>
      <c r="B216" s="53"/>
      <c r="C216" s="63" t="s">
        <v>292</v>
      </c>
      <c r="D216" s="53"/>
      <c r="E216" s="59"/>
      <c r="F216" s="59"/>
      <c r="G216" s="59"/>
      <c r="H216" s="59"/>
      <c r="I216" s="59"/>
      <c r="J216" s="59"/>
      <c r="K216" s="59"/>
      <c r="L216" s="59"/>
      <c r="M216" s="59"/>
      <c r="N216" s="103"/>
      <c r="O216" s="112"/>
      <c r="P216" s="112"/>
    </row>
    <row r="217" spans="1:16" ht="15" customHeight="1">
      <c r="A217" s="52" t="s">
        <v>293</v>
      </c>
      <c r="B217" s="53"/>
      <c r="C217" s="63" t="s">
        <v>294</v>
      </c>
      <c r="D217" s="53"/>
      <c r="E217" s="59"/>
      <c r="F217" s="59"/>
      <c r="G217" s="59"/>
      <c r="H217" s="59"/>
      <c r="I217" s="59"/>
      <c r="J217" s="59"/>
      <c r="K217" s="59"/>
      <c r="L217" s="59"/>
      <c r="M217" s="59"/>
      <c r="N217" s="103"/>
      <c r="O217" s="112"/>
      <c r="P217" s="112"/>
    </row>
    <row r="218" spans="1:16" ht="27" customHeight="1">
      <c r="A218" s="61">
        <v>150</v>
      </c>
      <c r="B218" s="60"/>
      <c r="C218" s="19" t="s">
        <v>324</v>
      </c>
      <c r="D218" s="20" t="s">
        <v>145</v>
      </c>
      <c r="E218" s="91"/>
      <c r="F218" s="91">
        <v>1</v>
      </c>
      <c r="G218" s="35">
        <f>(5831*E218*F218)/10000</f>
        <v>0</v>
      </c>
      <c r="H218" s="35">
        <f>(0*E218*F218)/10000</f>
        <v>0</v>
      </c>
      <c r="I218" s="35">
        <f>(E218*F218*0)/10000</f>
        <v>0</v>
      </c>
      <c r="J218" s="35">
        <f>(63*E218*F218)/10000</f>
        <v>0</v>
      </c>
      <c r="K218" s="22">
        <f>((G218+I218)*$K$12)</f>
        <v>0</v>
      </c>
      <c r="L218" s="22">
        <f>(SUM(G218:K218)*$L$12)</f>
        <v>0</v>
      </c>
      <c r="M218" s="22">
        <f>(SUM(G218:L218)*$M$12)</f>
        <v>0</v>
      </c>
      <c r="N218" s="102">
        <f>ROUND(G218+H218+J218+K218+L218+M218,2)</f>
        <v>0</v>
      </c>
      <c r="O218" s="112"/>
      <c r="P218" s="112"/>
    </row>
    <row r="219" spans="1:16" ht="27" customHeight="1">
      <c r="A219" s="61">
        <v>151</v>
      </c>
      <c r="B219" s="60"/>
      <c r="C219" s="19" t="s">
        <v>325</v>
      </c>
      <c r="D219" s="20" t="s">
        <v>145</v>
      </c>
      <c r="E219" s="91"/>
      <c r="F219" s="91">
        <v>1</v>
      </c>
      <c r="G219" s="35">
        <f>(25410*E219*F219)/10000</f>
        <v>0</v>
      </c>
      <c r="H219" s="35">
        <f>(0*E219*F219)/10000</f>
        <v>0</v>
      </c>
      <c r="I219" s="35">
        <f>(E219*F219*0)/10000</f>
        <v>0</v>
      </c>
      <c r="J219" s="35">
        <f>(299*E219*F219)/10000</f>
        <v>0</v>
      </c>
      <c r="K219" s="22">
        <f>((G219+I219)*$K$12)</f>
        <v>0</v>
      </c>
      <c r="L219" s="22">
        <f>(SUM(G219:K219)*$L$12)</f>
        <v>0</v>
      </c>
      <c r="M219" s="22">
        <f>(SUM(G219:L219)*$M$12)</f>
        <v>0</v>
      </c>
      <c r="N219" s="102">
        <f>ROUND(G219+H219+J219+K219+L219+M219,2)</f>
        <v>0</v>
      </c>
      <c r="O219" s="112"/>
      <c r="P219" s="112"/>
    </row>
    <row r="220" spans="1:16" ht="18" customHeight="1">
      <c r="A220" s="61">
        <v>152</v>
      </c>
      <c r="B220" s="60"/>
      <c r="C220" s="19" t="s">
        <v>326</v>
      </c>
      <c r="D220" s="20" t="s">
        <v>146</v>
      </c>
      <c r="E220" s="91"/>
      <c r="F220" s="91">
        <v>1</v>
      </c>
      <c r="G220" s="35">
        <f>(53.98*E220*F220)/100</f>
        <v>0</v>
      </c>
      <c r="H220" s="35">
        <f>(0*E220*F220)/100</f>
        <v>0</v>
      </c>
      <c r="I220" s="35">
        <f>(E220*F220*0)/100</f>
        <v>0</v>
      </c>
      <c r="J220" s="35">
        <f>(10.68*E220*F220)/100</f>
        <v>0</v>
      </c>
      <c r="K220" s="22">
        <f>((G220+I220)*$K$12)</f>
        <v>0</v>
      </c>
      <c r="L220" s="22">
        <f>(SUM(G220:K220)*$L$12)</f>
        <v>0</v>
      </c>
      <c r="M220" s="22">
        <f>(SUM(G220:L220)*$M$12)</f>
        <v>0</v>
      </c>
      <c r="N220" s="102">
        <f>ROUND(G220+H220+J220+K220+L220+M220,2)</f>
        <v>0</v>
      </c>
      <c r="O220" s="112"/>
      <c r="P220" s="112"/>
    </row>
    <row r="221" spans="1:16" ht="15" customHeight="1">
      <c r="A221" s="52" t="s">
        <v>295</v>
      </c>
      <c r="B221" s="53"/>
      <c r="C221" s="63" t="s">
        <v>296</v>
      </c>
      <c r="D221" s="53"/>
      <c r="E221" s="59"/>
      <c r="F221" s="59"/>
      <c r="G221" s="59"/>
      <c r="H221" s="59"/>
      <c r="I221" s="59"/>
      <c r="J221" s="59"/>
      <c r="K221" s="59"/>
      <c r="L221" s="101"/>
      <c r="M221" s="59"/>
      <c r="N221" s="103"/>
      <c r="O221" s="112"/>
      <c r="P221" s="112"/>
    </row>
    <row r="222" spans="1:16" ht="27" customHeight="1">
      <c r="A222" s="61">
        <v>153</v>
      </c>
      <c r="B222" s="60"/>
      <c r="C222" s="19" t="s">
        <v>324</v>
      </c>
      <c r="D222" s="20" t="s">
        <v>145</v>
      </c>
      <c r="E222" s="91"/>
      <c r="F222" s="91">
        <v>1</v>
      </c>
      <c r="G222" s="35">
        <f>(0*E222*F222)/1000</f>
        <v>0</v>
      </c>
      <c r="H222" s="35">
        <f>(82.5*E222*F222)/1000</f>
        <v>0</v>
      </c>
      <c r="I222" s="35">
        <f>(E222*F222*29.7)/1000</f>
        <v>0</v>
      </c>
      <c r="J222" s="35">
        <f>(0*E222*F222)/1000</f>
        <v>0</v>
      </c>
      <c r="K222" s="22">
        <f aca="true" t="shared" si="50" ref="K222:K230">((G222+I222)*$K$12)</f>
        <v>0</v>
      </c>
      <c r="L222" s="22">
        <f>(SUM(G222+H222+J222+K222)*$L$12)</f>
        <v>0</v>
      </c>
      <c r="M222" s="22">
        <f>(SUM(+G222+H222+J222+K222+L222)*$M$12)</f>
        <v>0</v>
      </c>
      <c r="N222" s="102">
        <f aca="true" t="shared" si="51" ref="N222:N232">ROUND(G222+H222+J222+K222+L222+M222,2)</f>
        <v>0</v>
      </c>
      <c r="O222" s="112"/>
      <c r="P222" s="112"/>
    </row>
    <row r="223" spans="1:16" ht="27" customHeight="1">
      <c r="A223" s="61">
        <f>A222+1</f>
        <v>154</v>
      </c>
      <c r="B223" s="60"/>
      <c r="C223" s="19" t="s">
        <v>325</v>
      </c>
      <c r="D223" s="20" t="s">
        <v>145</v>
      </c>
      <c r="E223" s="91"/>
      <c r="F223" s="91">
        <v>1</v>
      </c>
      <c r="G223" s="35">
        <f>(0*E223*F223)/1000</f>
        <v>0</v>
      </c>
      <c r="H223" s="22">
        <f>(141.8*E223*F223)/1000</f>
        <v>0</v>
      </c>
      <c r="I223" s="22">
        <f>(E223*F223*51.1)/1000</f>
        <v>0</v>
      </c>
      <c r="J223" s="35">
        <f>(0*E223*F223)/1000</f>
        <v>0</v>
      </c>
      <c r="K223" s="22">
        <f t="shared" si="50"/>
        <v>0</v>
      </c>
      <c r="L223" s="22">
        <f>(SUM(G223+H223+J223+K223)*$L$12)</f>
        <v>0</v>
      </c>
      <c r="M223" s="22">
        <f>(SUM(+G223+H223+J223+K223+L223)*$M$12)</f>
        <v>0</v>
      </c>
      <c r="N223" s="102">
        <f t="shared" si="51"/>
        <v>0</v>
      </c>
      <c r="O223" s="112"/>
      <c r="P223" s="112"/>
    </row>
    <row r="224" spans="1:16" ht="18" customHeight="1">
      <c r="A224" s="61">
        <f>A223+1</f>
        <v>155</v>
      </c>
      <c r="B224" s="60"/>
      <c r="C224" s="19" t="s">
        <v>228</v>
      </c>
      <c r="D224" s="20" t="s">
        <v>229</v>
      </c>
      <c r="E224" s="91"/>
      <c r="F224" s="91">
        <v>1</v>
      </c>
      <c r="G224" s="35">
        <f>(62.48*E224*F224)/1</f>
        <v>0</v>
      </c>
      <c r="H224" s="35">
        <f>(0*E224*F224)/1</f>
        <v>0</v>
      </c>
      <c r="I224" s="35">
        <f>(E224*F224*0)/1</f>
        <v>0</v>
      </c>
      <c r="J224" s="35">
        <f>(0*E224*F224)/1</f>
        <v>0</v>
      </c>
      <c r="K224" s="22">
        <f t="shared" si="50"/>
        <v>0</v>
      </c>
      <c r="L224" s="22">
        <f>(SUM(G224+H224+J224+K224)*$L$12)</f>
        <v>0</v>
      </c>
      <c r="M224" s="22">
        <f>(SUM(+G224+H224+J224+K224+L224)*$M$12)</f>
        <v>0</v>
      </c>
      <c r="N224" s="102">
        <f t="shared" si="51"/>
        <v>0</v>
      </c>
      <c r="O224" s="112"/>
      <c r="P224" s="112"/>
    </row>
    <row r="225" spans="1:16" ht="18" customHeight="1">
      <c r="A225" s="61">
        <f>A224+1</f>
        <v>156</v>
      </c>
      <c r="B225" s="60"/>
      <c r="C225" s="19" t="s">
        <v>326</v>
      </c>
      <c r="D225" s="20" t="s">
        <v>146</v>
      </c>
      <c r="E225" s="91"/>
      <c r="F225" s="91">
        <v>1</v>
      </c>
      <c r="G225" s="35">
        <f>(53.98*E225*F225)/100</f>
        <v>0</v>
      </c>
      <c r="H225" s="35">
        <f>(0*E225*F225)/100</f>
        <v>0</v>
      </c>
      <c r="I225" s="35">
        <f>(E225*F225*0)/100</f>
        <v>0</v>
      </c>
      <c r="J225" s="35">
        <f>(10.68*E225*F225)/100</f>
        <v>0</v>
      </c>
      <c r="K225" s="22">
        <f t="shared" si="50"/>
        <v>0</v>
      </c>
      <c r="L225" s="23">
        <f>(SUM(G225:K225)*$L$12)</f>
        <v>0</v>
      </c>
      <c r="M225" s="22">
        <f>(SUM(G225:L225)*$M$12)</f>
        <v>0</v>
      </c>
      <c r="N225" s="102">
        <f t="shared" si="51"/>
        <v>0</v>
      </c>
      <c r="O225" s="112"/>
      <c r="P225" s="112"/>
    </row>
    <row r="226" spans="1:16" ht="12.75" customHeight="1">
      <c r="A226" s="61"/>
      <c r="B226" s="60"/>
      <c r="C226" s="19"/>
      <c r="D226" s="20"/>
      <c r="E226" s="91" t="s">
        <v>349</v>
      </c>
      <c r="F226" s="91"/>
      <c r="G226" s="35"/>
      <c r="H226" s="35"/>
      <c r="I226" s="35"/>
      <c r="J226" s="35"/>
      <c r="K226" s="22"/>
      <c r="L226" s="23"/>
      <c r="M226" s="22"/>
      <c r="N226" s="102"/>
      <c r="O226" s="112"/>
      <c r="P226" s="112"/>
    </row>
    <row r="227" spans="1:16" ht="18.75">
      <c r="A227" s="61">
        <v>157</v>
      </c>
      <c r="B227" s="60"/>
      <c r="C227" s="19" t="s">
        <v>147</v>
      </c>
      <c r="D227" s="20" t="s">
        <v>148</v>
      </c>
      <c r="E227" s="91"/>
      <c r="F227" s="91">
        <v>1</v>
      </c>
      <c r="G227" s="35">
        <f>(1986.94*E227*F227)/100</f>
        <v>0</v>
      </c>
      <c r="H227" s="35">
        <f>(0*E227*F227)/100</f>
        <v>0</v>
      </c>
      <c r="I227" s="35">
        <f>(E227*F227*0)/100</f>
        <v>0</v>
      </c>
      <c r="J227" s="35">
        <f>(9.27*E227*F227)/100</f>
        <v>0</v>
      </c>
      <c r="K227" s="22">
        <f t="shared" si="50"/>
        <v>0</v>
      </c>
      <c r="L227" s="23">
        <f>(SUM(G227:K227)*$L$12)</f>
        <v>0</v>
      </c>
      <c r="M227" s="22">
        <f>(SUM(G227:L227)*$M$12)</f>
        <v>0</v>
      </c>
      <c r="N227" s="104">
        <f t="shared" si="51"/>
        <v>0</v>
      </c>
      <c r="O227" s="112"/>
      <c r="P227" s="112"/>
    </row>
    <row r="228" spans="1:16" ht="18.75">
      <c r="A228" s="61">
        <f>A227+1</f>
        <v>158</v>
      </c>
      <c r="B228" s="60"/>
      <c r="C228" s="19" t="s">
        <v>231</v>
      </c>
      <c r="D228" s="20" t="s">
        <v>146</v>
      </c>
      <c r="E228" s="91"/>
      <c r="F228" s="91">
        <v>1</v>
      </c>
      <c r="G228" s="35">
        <f>(607.33*E228*F228)/100</f>
        <v>0</v>
      </c>
      <c r="H228" s="35">
        <f>(0*E228*F228)/100</f>
        <v>0</v>
      </c>
      <c r="I228" s="35">
        <f>(E228*F228*0)/100</f>
        <v>0</v>
      </c>
      <c r="J228" s="35">
        <f>(2.47*E228*F228)/100</f>
        <v>0</v>
      </c>
      <c r="K228" s="22">
        <f t="shared" si="50"/>
        <v>0</v>
      </c>
      <c r="L228" s="23">
        <f>(SUM(G228:K228)*$L$12)</f>
        <v>0</v>
      </c>
      <c r="M228" s="22">
        <f>(SUM(G228:L228)*$M$12)</f>
        <v>0</v>
      </c>
      <c r="N228" s="102">
        <f t="shared" si="51"/>
        <v>0</v>
      </c>
      <c r="O228" s="112"/>
      <c r="P228" s="112"/>
    </row>
    <row r="229" spans="1:16" ht="18.75">
      <c r="A229" s="61">
        <f>A228+1</f>
        <v>159</v>
      </c>
      <c r="B229" s="60"/>
      <c r="C229" s="19" t="s">
        <v>230</v>
      </c>
      <c r="D229" s="20" t="s">
        <v>146</v>
      </c>
      <c r="E229" s="91"/>
      <c r="F229" s="91">
        <v>1</v>
      </c>
      <c r="G229" s="35">
        <f>(1499.58*E229*F229)/100</f>
        <v>0</v>
      </c>
      <c r="H229" s="35">
        <f>(0*E229*F229)/100</f>
        <v>0</v>
      </c>
      <c r="I229" s="35">
        <f>(E229*F229*0)/100</f>
        <v>0</v>
      </c>
      <c r="J229" s="35">
        <f>(2.09*E229*F229)/100</f>
        <v>0</v>
      </c>
      <c r="K229" s="22">
        <f t="shared" si="50"/>
        <v>0</v>
      </c>
      <c r="L229" s="23">
        <f>(SUM(G229:K229)*$L$12)</f>
        <v>0</v>
      </c>
      <c r="M229" s="22">
        <f>(SUM(G229:L229)*$M$12)</f>
        <v>0</v>
      </c>
      <c r="N229" s="102">
        <f t="shared" si="51"/>
        <v>0</v>
      </c>
      <c r="O229" s="112"/>
      <c r="P229" s="112"/>
    </row>
    <row r="230" spans="1:16" ht="24">
      <c r="A230" s="61">
        <f>A229+1</f>
        <v>160</v>
      </c>
      <c r="B230" s="60"/>
      <c r="C230" s="19" t="s">
        <v>232</v>
      </c>
      <c r="D230" s="20" t="s">
        <v>87</v>
      </c>
      <c r="E230" s="91"/>
      <c r="F230" s="91">
        <v>1</v>
      </c>
      <c r="G230" s="35">
        <f>(29.99*E230*F230)</f>
        <v>0</v>
      </c>
      <c r="H230" s="35">
        <f>(0*E230*F230)</f>
        <v>0</v>
      </c>
      <c r="I230" s="35">
        <f>(E230*F230*0)</f>
        <v>0</v>
      </c>
      <c r="J230" s="35">
        <f>(0*E230*F230)</f>
        <v>0</v>
      </c>
      <c r="K230" s="22">
        <f t="shared" si="50"/>
        <v>0</v>
      </c>
      <c r="L230" s="22">
        <f>(SUM(G230:K230)*$L$12)</f>
        <v>0</v>
      </c>
      <c r="M230" s="22">
        <f>(SUM(G230:L230)*$M$12)</f>
        <v>0</v>
      </c>
      <c r="N230" s="102">
        <f t="shared" si="51"/>
        <v>0</v>
      </c>
      <c r="O230" s="112"/>
      <c r="P230" s="112"/>
    </row>
    <row r="231" spans="1:16" ht="48">
      <c r="A231" s="61">
        <f>A230+1</f>
        <v>161</v>
      </c>
      <c r="B231" s="60"/>
      <c r="C231" s="19" t="s">
        <v>233</v>
      </c>
      <c r="D231" s="20" t="s">
        <v>297</v>
      </c>
      <c r="E231" s="91"/>
      <c r="F231" s="91"/>
      <c r="G231" s="35"/>
      <c r="H231" s="35"/>
      <c r="I231" s="35"/>
      <c r="J231" s="35"/>
      <c r="K231" s="35"/>
      <c r="L231" s="35"/>
      <c r="M231" s="22"/>
      <c r="N231" s="102">
        <f t="shared" si="51"/>
        <v>0</v>
      </c>
      <c r="O231" s="112"/>
      <c r="P231" s="112"/>
    </row>
    <row r="232" spans="1:16" ht="48">
      <c r="A232" s="61">
        <f>A231+1</f>
        <v>162</v>
      </c>
      <c r="B232" s="60"/>
      <c r="C232" s="19" t="s">
        <v>234</v>
      </c>
      <c r="D232" s="20" t="s">
        <v>297</v>
      </c>
      <c r="E232" s="91"/>
      <c r="F232" s="91"/>
      <c r="G232" s="35"/>
      <c r="H232" s="35"/>
      <c r="I232" s="35"/>
      <c r="J232" s="35"/>
      <c r="K232" s="35"/>
      <c r="L232" s="35"/>
      <c r="M232" s="22"/>
      <c r="N232" s="102">
        <f t="shared" si="51"/>
        <v>0</v>
      </c>
      <c r="O232" s="112"/>
      <c r="P232" s="112"/>
    </row>
    <row r="233" spans="1:16" s="30" customFormat="1" ht="18" customHeight="1">
      <c r="A233" s="25"/>
      <c r="B233" s="26"/>
      <c r="C233" s="27" t="s">
        <v>164</v>
      </c>
      <c r="D233" s="28"/>
      <c r="E233" s="40"/>
      <c r="F233" s="41"/>
      <c r="G233" s="29">
        <f aca="true" t="shared" si="52" ref="G233:M233">SUM(G209:G232)</f>
        <v>0</v>
      </c>
      <c r="H233" s="29">
        <f t="shared" si="52"/>
        <v>0</v>
      </c>
      <c r="I233" s="29">
        <f t="shared" si="52"/>
        <v>0</v>
      </c>
      <c r="J233" s="29">
        <f t="shared" si="52"/>
        <v>0</v>
      </c>
      <c r="K233" s="29">
        <f t="shared" si="52"/>
        <v>0</v>
      </c>
      <c r="L233" s="29">
        <f t="shared" si="52"/>
        <v>0</v>
      </c>
      <c r="M233" s="29">
        <f t="shared" si="52"/>
        <v>0</v>
      </c>
      <c r="N233" s="102">
        <f>SUM(N209:N232)</f>
        <v>0</v>
      </c>
      <c r="O233" s="139"/>
      <c r="P233" s="139"/>
    </row>
    <row r="234" spans="1:16" ht="12.75" customHeight="1">
      <c r="A234" s="52" t="s">
        <v>299</v>
      </c>
      <c r="B234" s="53"/>
      <c r="C234" s="63" t="s">
        <v>298</v>
      </c>
      <c r="D234" s="53"/>
      <c r="E234" s="59"/>
      <c r="F234" s="59"/>
      <c r="G234" s="59"/>
      <c r="H234" s="59"/>
      <c r="I234" s="59"/>
      <c r="J234" s="59"/>
      <c r="K234" s="59"/>
      <c r="L234" s="59"/>
      <c r="M234" s="59"/>
      <c r="N234" s="103"/>
      <c r="O234" s="112"/>
      <c r="P234" s="112"/>
    </row>
    <row r="235" spans="1:16" ht="18.75">
      <c r="A235" s="61">
        <v>163</v>
      </c>
      <c r="B235" s="60"/>
      <c r="C235" s="19" t="s">
        <v>235</v>
      </c>
      <c r="D235" s="20" t="s">
        <v>220</v>
      </c>
      <c r="E235" s="91"/>
      <c r="F235" s="91">
        <v>1</v>
      </c>
      <c r="G235" s="35">
        <f>(332.4*E235*F235)/1000</f>
        <v>0</v>
      </c>
      <c r="H235" s="35">
        <f>(0*E235*F235)/1000</f>
        <v>0</v>
      </c>
      <c r="I235" s="35">
        <f>(E235*F235*0)/1000</f>
        <v>0</v>
      </c>
      <c r="J235" s="35">
        <f>(3.6*E235*F235)/1000</f>
        <v>0</v>
      </c>
      <c r="K235" s="22">
        <f aca="true" t="shared" si="53" ref="K235:K245">((G235+I235)*$K$12)</f>
        <v>0</v>
      </c>
      <c r="L235" s="22">
        <f>(SUM(G235+H235+J235+K235)*$L$12)</f>
        <v>0</v>
      </c>
      <c r="M235" s="22">
        <f>(SUM(+G235+H235+J235+K235+L235)*$M$12)</f>
        <v>0</v>
      </c>
      <c r="N235" s="102">
        <f aca="true" t="shared" si="54" ref="N235:N245">ROUND(G235+H235+J235+K235+L235+M235,2)</f>
        <v>0</v>
      </c>
      <c r="O235" s="112"/>
      <c r="P235" s="112"/>
    </row>
    <row r="236" spans="1:16" ht="18.75">
      <c r="A236" s="61">
        <f>A235+1</f>
        <v>164</v>
      </c>
      <c r="B236" s="60"/>
      <c r="C236" s="19" t="s">
        <v>288</v>
      </c>
      <c r="D236" s="20" t="s">
        <v>146</v>
      </c>
      <c r="E236" s="91"/>
      <c r="F236" s="91">
        <v>1</v>
      </c>
      <c r="G236" s="35">
        <f>(63.73*E236*F236)/100</f>
        <v>0</v>
      </c>
      <c r="H236" s="35">
        <f>(0*E236*F236)/100</f>
        <v>0</v>
      </c>
      <c r="I236" s="35">
        <f>(E236*F236*0)/100</f>
        <v>0</v>
      </c>
      <c r="J236" s="35">
        <f>(0.36*E236*F236)/100</f>
        <v>0</v>
      </c>
      <c r="K236" s="22">
        <f t="shared" si="53"/>
        <v>0</v>
      </c>
      <c r="L236" s="22">
        <f>(SUM(G236+H236+J236+K236)*$L$12)</f>
        <v>0</v>
      </c>
      <c r="M236" s="22">
        <f>(SUM(+G236+H236+J236+K236+L236)*$M$12)</f>
        <v>0</v>
      </c>
      <c r="N236" s="102">
        <f t="shared" si="54"/>
        <v>0</v>
      </c>
      <c r="O236" s="112"/>
      <c r="P236" s="112"/>
    </row>
    <row r="237" spans="1:16" ht="18.75">
      <c r="A237" s="61">
        <f aca="true" t="shared" si="55" ref="A237:A247">A236+1</f>
        <v>165</v>
      </c>
      <c r="B237" s="60"/>
      <c r="C237" s="19" t="s">
        <v>236</v>
      </c>
      <c r="D237" s="20" t="s">
        <v>220</v>
      </c>
      <c r="E237" s="91"/>
      <c r="F237" s="91">
        <v>1</v>
      </c>
      <c r="G237" s="35">
        <f>(332.4*E237*F237)/1000</f>
        <v>0</v>
      </c>
      <c r="H237" s="35">
        <f>(0*E237*F237)/1000</f>
        <v>0</v>
      </c>
      <c r="I237" s="35">
        <f>(E237*F237*0)/1000</f>
        <v>0</v>
      </c>
      <c r="J237" s="35">
        <f>(3.6*E237*F237)/1000</f>
        <v>0</v>
      </c>
      <c r="K237" s="22">
        <f t="shared" si="53"/>
        <v>0</v>
      </c>
      <c r="L237" s="22">
        <f>(SUM(G237+H237+J237+K237)*$L$12)</f>
        <v>0</v>
      </c>
      <c r="M237" s="22">
        <f>(SUM(+G237+H237+J237+K237+L237)*$M$12)</f>
        <v>0</v>
      </c>
      <c r="N237" s="102">
        <f t="shared" si="54"/>
        <v>0</v>
      </c>
      <c r="O237" s="112"/>
      <c r="P237" s="112"/>
    </row>
    <row r="238" spans="1:16" ht="18.75">
      <c r="A238" s="61">
        <f t="shared" si="55"/>
        <v>166</v>
      </c>
      <c r="B238" s="60"/>
      <c r="C238" s="19" t="s">
        <v>237</v>
      </c>
      <c r="D238" s="20" t="s">
        <v>220</v>
      </c>
      <c r="E238" s="91"/>
      <c r="F238" s="91">
        <v>1</v>
      </c>
      <c r="G238" s="35">
        <f>(0*E238*F238)/1000</f>
        <v>0</v>
      </c>
      <c r="H238" s="35">
        <f>(97.1*E238*F238)/1000</f>
        <v>0</v>
      </c>
      <c r="I238" s="35">
        <f>(E238*F238*35)/1000</f>
        <v>0</v>
      </c>
      <c r="J238" s="35">
        <f>(0*E238*F238)/1000</f>
        <v>0</v>
      </c>
      <c r="K238" s="22">
        <f t="shared" si="53"/>
        <v>0</v>
      </c>
      <c r="L238" s="22">
        <f>(SUM(G238+H238+J238+K238)*$L$12)</f>
        <v>0</v>
      </c>
      <c r="M238" s="22">
        <f>(SUM(+G238+H238+J238+K238+L238)*$M$12)</f>
        <v>0</v>
      </c>
      <c r="N238" s="102">
        <f t="shared" si="54"/>
        <v>0</v>
      </c>
      <c r="O238" s="112"/>
      <c r="P238" s="112"/>
    </row>
    <row r="239" spans="1:16" ht="18.75">
      <c r="A239" s="61">
        <f t="shared" si="55"/>
        <v>167</v>
      </c>
      <c r="B239" s="60"/>
      <c r="C239" s="19" t="s">
        <v>238</v>
      </c>
      <c r="D239" s="20" t="s">
        <v>239</v>
      </c>
      <c r="E239" s="91"/>
      <c r="F239" s="91">
        <v>1</v>
      </c>
      <c r="G239" s="35">
        <f>(1986.94*E239*F239)/100</f>
        <v>0</v>
      </c>
      <c r="H239" s="35">
        <f>(0*E239*F239)/100</f>
        <v>0</v>
      </c>
      <c r="I239" s="35">
        <f>(E239*F239*0)/100</f>
        <v>0</v>
      </c>
      <c r="J239" s="35">
        <f>(9.27*E239*F239)/100</f>
        <v>0</v>
      </c>
      <c r="K239" s="22">
        <f t="shared" si="53"/>
        <v>0</v>
      </c>
      <c r="L239" s="22">
        <f>(SUM(G239:K239)*$L$12)</f>
        <v>0</v>
      </c>
      <c r="M239" s="22">
        <f>(SUM(G239:L239)*$M$12)</f>
        <v>0</v>
      </c>
      <c r="N239" s="102">
        <f t="shared" si="54"/>
        <v>0</v>
      </c>
      <c r="O239" s="112"/>
      <c r="P239" s="112"/>
    </row>
    <row r="240" spans="1:16" ht="18.75">
      <c r="A240" s="61">
        <f t="shared" si="55"/>
        <v>168</v>
      </c>
      <c r="B240" s="60"/>
      <c r="C240" s="19" t="s">
        <v>240</v>
      </c>
      <c r="D240" s="20" t="s">
        <v>239</v>
      </c>
      <c r="E240" s="91"/>
      <c r="F240" s="91">
        <v>1</v>
      </c>
      <c r="G240" s="35">
        <f>(18.74*E240*F240)/1</f>
        <v>0</v>
      </c>
      <c r="H240" s="35">
        <f>(0*E240*F240)/1</f>
        <v>0</v>
      </c>
      <c r="I240" s="35">
        <f>(E240*F240*0)/1</f>
        <v>0</v>
      </c>
      <c r="J240" s="35">
        <f>(0*E240*F240)/1</f>
        <v>0</v>
      </c>
      <c r="K240" s="22">
        <f t="shared" si="53"/>
        <v>0</v>
      </c>
      <c r="L240" s="22">
        <f>(SUM(G240:K240)*$L$12)</f>
        <v>0</v>
      </c>
      <c r="M240" s="22">
        <f>(SUM(G240:L240)*$M$12)</f>
        <v>0</v>
      </c>
      <c r="N240" s="102">
        <f t="shared" si="54"/>
        <v>0</v>
      </c>
      <c r="O240" s="112"/>
      <c r="P240" s="112"/>
    </row>
    <row r="241" spans="1:16" ht="18.75">
      <c r="A241" s="61">
        <f t="shared" si="55"/>
        <v>169</v>
      </c>
      <c r="B241" s="60"/>
      <c r="C241" s="19" t="s">
        <v>241</v>
      </c>
      <c r="D241" s="20" t="s">
        <v>220</v>
      </c>
      <c r="E241" s="91"/>
      <c r="F241" s="91">
        <v>1</v>
      </c>
      <c r="G241" s="35">
        <f>(607.33*E241*F241)/100</f>
        <v>0</v>
      </c>
      <c r="H241" s="35">
        <f>(0*E241*F241)/100</f>
        <v>0</v>
      </c>
      <c r="I241" s="35">
        <f>(E241*F241*0)/100</f>
        <v>0</v>
      </c>
      <c r="J241" s="35">
        <f>(2.47*E241*F241)/100</f>
        <v>0</v>
      </c>
      <c r="K241" s="22">
        <f t="shared" si="53"/>
        <v>0</v>
      </c>
      <c r="L241" s="22">
        <f>(SUM(G241:K241)*$L$12)</f>
        <v>0</v>
      </c>
      <c r="M241" s="22">
        <f>(SUM(G241:L241)*$M$12)</f>
        <v>0</v>
      </c>
      <c r="N241" s="102">
        <f t="shared" si="54"/>
        <v>0</v>
      </c>
      <c r="O241" s="112"/>
      <c r="P241" s="112"/>
    </row>
    <row r="242" spans="1:16" ht="18.75">
      <c r="A242" s="61">
        <f t="shared" si="55"/>
        <v>170</v>
      </c>
      <c r="B242" s="60"/>
      <c r="C242" s="19" t="s">
        <v>149</v>
      </c>
      <c r="D242" s="20" t="s">
        <v>220</v>
      </c>
      <c r="E242" s="91"/>
      <c r="F242" s="91">
        <v>1</v>
      </c>
      <c r="G242" s="22">
        <f>(32073*E242*F242)/100000</f>
        <v>0</v>
      </c>
      <c r="H242" s="35">
        <f>(0*E242*F242)/100000</f>
        <v>0</v>
      </c>
      <c r="I242" s="35">
        <f>(E242*F242*0)/100000</f>
        <v>0</v>
      </c>
      <c r="J242" s="22">
        <f>(150*E242*F242)/100000</f>
        <v>0</v>
      </c>
      <c r="K242" s="22">
        <f t="shared" si="53"/>
        <v>0</v>
      </c>
      <c r="L242" s="22">
        <f>(SUM(G242+H242+J242+K242)*$L$12)</f>
        <v>0</v>
      </c>
      <c r="M242" s="22">
        <f>(SUM(+G242+H242+J242+K242+L242)*$M$12)</f>
        <v>0</v>
      </c>
      <c r="N242" s="102">
        <f t="shared" si="54"/>
        <v>0</v>
      </c>
      <c r="O242" s="112"/>
      <c r="P242" s="112"/>
    </row>
    <row r="243" spans="1:16" ht="18.75">
      <c r="A243" s="61">
        <f t="shared" si="55"/>
        <v>171</v>
      </c>
      <c r="B243" s="60"/>
      <c r="C243" s="19" t="s">
        <v>242</v>
      </c>
      <c r="D243" s="20" t="s">
        <v>220</v>
      </c>
      <c r="E243" s="91"/>
      <c r="F243" s="91">
        <v>1</v>
      </c>
      <c r="G243" s="22">
        <f>(291590*E243*F243)/100000</f>
        <v>0</v>
      </c>
      <c r="H243" s="35">
        <f>(0*E243*F243)/100000</f>
        <v>0</v>
      </c>
      <c r="I243" s="35">
        <f>(E243*F243*0)/100000</f>
        <v>0</v>
      </c>
      <c r="J243" s="22">
        <f>(1340*E243*F243)/100000</f>
        <v>0</v>
      </c>
      <c r="K243" s="22">
        <f>((G243+I243)*$K$12)</f>
        <v>0</v>
      </c>
      <c r="L243" s="22">
        <f>(SUM(G243+H243+J243+K243)*$L$12)</f>
        <v>0</v>
      </c>
      <c r="M243" s="22">
        <f>(SUM(+G243+H243+J243+K243+L243)*$M$12)</f>
        <v>0</v>
      </c>
      <c r="N243" s="102">
        <f t="shared" si="54"/>
        <v>0</v>
      </c>
      <c r="O243" s="112"/>
      <c r="P243" s="112"/>
    </row>
    <row r="244" spans="1:16" ht="18.75">
      <c r="A244" s="61">
        <f t="shared" si="55"/>
        <v>172</v>
      </c>
      <c r="B244" s="60"/>
      <c r="C244" s="19" t="s">
        <v>246</v>
      </c>
      <c r="D244" s="20" t="s">
        <v>220</v>
      </c>
      <c r="E244" s="91"/>
      <c r="F244" s="91">
        <v>1</v>
      </c>
      <c r="G244" s="35">
        <f>(257.17*E244*F244)/100</f>
        <v>0</v>
      </c>
      <c r="H244" s="35">
        <f>(88.13*E244*F244)/100</f>
        <v>0</v>
      </c>
      <c r="I244" s="35">
        <f>(E244*F244*0)/100</f>
        <v>0</v>
      </c>
      <c r="J244" s="35">
        <f>(49.46*E244*F244)/100</f>
        <v>0</v>
      </c>
      <c r="K244" s="22">
        <f t="shared" si="53"/>
        <v>0</v>
      </c>
      <c r="L244" s="22">
        <f>(SUM(G244+H244+J244+K244)*$L$12)</f>
        <v>0</v>
      </c>
      <c r="M244" s="22">
        <f>(SUM(+G244+H244+J244+K244+L244)*$M$12)</f>
        <v>0</v>
      </c>
      <c r="N244" s="102">
        <f t="shared" si="54"/>
        <v>0</v>
      </c>
      <c r="O244" s="112"/>
      <c r="P244" s="112"/>
    </row>
    <row r="245" spans="1:16" ht="18.75">
      <c r="A245" s="61">
        <f t="shared" si="55"/>
        <v>173</v>
      </c>
      <c r="B245" s="60"/>
      <c r="C245" s="19" t="s">
        <v>243</v>
      </c>
      <c r="D245" s="20" t="s">
        <v>220</v>
      </c>
      <c r="E245" s="91"/>
      <c r="F245" s="91">
        <v>1</v>
      </c>
      <c r="G245" s="35">
        <f>(542.4*E245*F245)/1000</f>
        <v>0</v>
      </c>
      <c r="H245" s="35">
        <f>(0*E245*F245)/1000</f>
        <v>0</v>
      </c>
      <c r="I245" s="35">
        <f>(E245*F245*0)/1000</f>
        <v>0</v>
      </c>
      <c r="J245" s="35">
        <f>(6*E245*F245)/1000</f>
        <v>0</v>
      </c>
      <c r="K245" s="22">
        <f t="shared" si="53"/>
        <v>0</v>
      </c>
      <c r="L245" s="22">
        <f>(SUM(G245+H245+J245+K245)*$L$12)</f>
        <v>0</v>
      </c>
      <c r="M245" s="22">
        <f>(SUM(+G245+H245+J245+K245+L245)*$M$12)</f>
        <v>0</v>
      </c>
      <c r="N245" s="102">
        <f t="shared" si="54"/>
        <v>0</v>
      </c>
      <c r="O245" s="112"/>
      <c r="P245" s="112"/>
    </row>
    <row r="246" spans="1:16" ht="24">
      <c r="A246" s="61">
        <f t="shared" si="55"/>
        <v>174</v>
      </c>
      <c r="B246" s="60"/>
      <c r="C246" s="19" t="s">
        <v>244</v>
      </c>
      <c r="D246" s="20" t="s">
        <v>181</v>
      </c>
      <c r="E246" s="91"/>
      <c r="F246" s="91"/>
      <c r="G246" s="35"/>
      <c r="H246" s="35"/>
      <c r="I246" s="35"/>
      <c r="J246" s="35"/>
      <c r="K246" s="35"/>
      <c r="L246" s="35"/>
      <c r="M246" s="22"/>
      <c r="N246" s="102">
        <v>0</v>
      </c>
      <c r="O246" s="112"/>
      <c r="P246" s="112"/>
    </row>
    <row r="247" spans="1:16" ht="24">
      <c r="A247" s="61">
        <f t="shared" si="55"/>
        <v>175</v>
      </c>
      <c r="B247" s="60"/>
      <c r="C247" s="19" t="s">
        <v>245</v>
      </c>
      <c r="D247" s="20" t="s">
        <v>181</v>
      </c>
      <c r="E247" s="91"/>
      <c r="F247" s="91"/>
      <c r="G247" s="35"/>
      <c r="H247" s="35"/>
      <c r="I247" s="35"/>
      <c r="J247" s="35"/>
      <c r="K247" s="35"/>
      <c r="L247" s="35"/>
      <c r="M247" s="22"/>
      <c r="N247" s="102">
        <v>0</v>
      </c>
      <c r="O247" s="112"/>
      <c r="P247" s="112"/>
    </row>
    <row r="248" spans="1:16" s="30" customFormat="1" ht="18" customHeight="1">
      <c r="A248" s="25"/>
      <c r="B248" s="26"/>
      <c r="C248" s="27" t="s">
        <v>164</v>
      </c>
      <c r="D248" s="28"/>
      <c r="E248" s="40"/>
      <c r="F248" s="41"/>
      <c r="G248" s="29">
        <f aca="true" t="shared" si="56" ref="G248:M248">SUM(G235:G247)</f>
        <v>0</v>
      </c>
      <c r="H248" s="29">
        <f t="shared" si="56"/>
        <v>0</v>
      </c>
      <c r="I248" s="29">
        <f t="shared" si="56"/>
        <v>0</v>
      </c>
      <c r="J248" s="29">
        <f t="shared" si="56"/>
        <v>0</v>
      </c>
      <c r="K248" s="29">
        <f t="shared" si="56"/>
        <v>0</v>
      </c>
      <c r="L248" s="29">
        <f t="shared" si="56"/>
        <v>0</v>
      </c>
      <c r="M248" s="29">
        <f t="shared" si="56"/>
        <v>0</v>
      </c>
      <c r="N248" s="102">
        <f>SUM(N235:N247)</f>
        <v>0</v>
      </c>
      <c r="O248" s="139"/>
      <c r="P248" s="139"/>
    </row>
    <row r="249" spans="1:16" ht="12.75" customHeight="1">
      <c r="A249" s="132" t="s">
        <v>340</v>
      </c>
      <c r="B249" s="133"/>
      <c r="C249" s="133"/>
      <c r="D249" s="133"/>
      <c r="E249" s="133"/>
      <c r="F249" s="133"/>
      <c r="G249" s="133"/>
      <c r="H249" s="133"/>
      <c r="I249" s="133"/>
      <c r="J249" s="133"/>
      <c r="K249" s="133"/>
      <c r="L249" s="133"/>
      <c r="M249" s="133"/>
      <c r="N249" s="103"/>
      <c r="O249" s="112"/>
      <c r="P249" s="112"/>
    </row>
    <row r="250" spans="1:16" ht="51.75" customHeight="1">
      <c r="A250" s="61">
        <v>176</v>
      </c>
      <c r="B250" s="60"/>
      <c r="C250" s="19" t="s">
        <v>247</v>
      </c>
      <c r="D250" s="20" t="s">
        <v>248</v>
      </c>
      <c r="E250" s="91"/>
      <c r="F250" s="91"/>
      <c r="G250" s="35"/>
      <c r="H250" s="35"/>
      <c r="I250" s="35"/>
      <c r="J250" s="35"/>
      <c r="K250" s="35"/>
      <c r="L250" s="35"/>
      <c r="M250" s="65"/>
      <c r="N250" s="105">
        <v>0</v>
      </c>
      <c r="O250" s="112"/>
      <c r="P250" s="112"/>
    </row>
    <row r="251" spans="1:14" ht="51.75" customHeight="1">
      <c r="A251" s="61">
        <v>177</v>
      </c>
      <c r="B251" s="60"/>
      <c r="C251" s="19" t="s">
        <v>300</v>
      </c>
      <c r="D251" s="20" t="s">
        <v>248</v>
      </c>
      <c r="E251" s="91"/>
      <c r="F251" s="91"/>
      <c r="G251" s="35"/>
      <c r="H251" s="35"/>
      <c r="I251" s="35"/>
      <c r="J251" s="35"/>
      <c r="K251" s="35"/>
      <c r="L251" s="35"/>
      <c r="M251" s="65"/>
      <c r="N251" s="105">
        <v>0</v>
      </c>
    </row>
    <row r="252" spans="1:14" s="30" customFormat="1" ht="18" customHeight="1">
      <c r="A252" s="25"/>
      <c r="B252" s="26"/>
      <c r="C252" s="27" t="s">
        <v>164</v>
      </c>
      <c r="D252" s="28"/>
      <c r="E252" s="40"/>
      <c r="F252" s="41"/>
      <c r="G252" s="29">
        <f aca="true" t="shared" si="57" ref="G252:N252">SUM(G250:G251)</f>
        <v>0</v>
      </c>
      <c r="H252" s="29">
        <f t="shared" si="57"/>
        <v>0</v>
      </c>
      <c r="I252" s="29">
        <f t="shared" si="57"/>
        <v>0</v>
      </c>
      <c r="J252" s="29">
        <f t="shared" si="57"/>
        <v>0</v>
      </c>
      <c r="K252" s="29">
        <f t="shared" si="57"/>
        <v>0</v>
      </c>
      <c r="L252" s="29">
        <f t="shared" si="57"/>
        <v>0</v>
      </c>
      <c r="M252" s="29">
        <f t="shared" si="57"/>
        <v>0</v>
      </c>
      <c r="N252" s="102">
        <f t="shared" si="57"/>
        <v>0</v>
      </c>
    </row>
    <row r="253" spans="1:14" ht="19.5" customHeight="1">
      <c r="A253" s="132" t="s">
        <v>343</v>
      </c>
      <c r="B253" s="133"/>
      <c r="C253" s="133"/>
      <c r="D253" s="133"/>
      <c r="E253" s="133"/>
      <c r="F253" s="133"/>
      <c r="G253" s="133"/>
      <c r="H253" s="133"/>
      <c r="I253" s="133"/>
      <c r="J253" s="133"/>
      <c r="K253" s="133"/>
      <c r="L253" s="133"/>
      <c r="M253" s="133"/>
      <c r="N253" s="103"/>
    </row>
    <row r="254" spans="1:14" ht="30" customHeight="1">
      <c r="A254" s="61">
        <v>178</v>
      </c>
      <c r="B254" s="60"/>
      <c r="C254" s="19" t="s">
        <v>249</v>
      </c>
      <c r="D254" s="66" t="s">
        <v>181</v>
      </c>
      <c r="E254" s="91"/>
      <c r="F254" s="91"/>
      <c r="G254" s="35"/>
      <c r="H254" s="35"/>
      <c r="I254" s="35"/>
      <c r="J254" s="35"/>
      <c r="K254" s="35"/>
      <c r="L254" s="35"/>
      <c r="M254" s="22"/>
      <c r="N254" s="102">
        <v>0</v>
      </c>
    </row>
    <row r="255" spans="1:14" s="30" customFormat="1" ht="18" customHeight="1">
      <c r="A255" s="25"/>
      <c r="B255" s="26"/>
      <c r="C255" s="27" t="s">
        <v>164</v>
      </c>
      <c r="D255" s="28"/>
      <c r="E255" s="40"/>
      <c r="F255" s="41"/>
      <c r="G255" s="29">
        <f aca="true" t="shared" si="58" ref="G255:M255">SUM(G254:G254)</f>
        <v>0</v>
      </c>
      <c r="H255" s="29">
        <f t="shared" si="58"/>
        <v>0</v>
      </c>
      <c r="I255" s="29">
        <f t="shared" si="58"/>
        <v>0</v>
      </c>
      <c r="J255" s="29">
        <f t="shared" si="58"/>
        <v>0</v>
      </c>
      <c r="K255" s="29">
        <f t="shared" si="58"/>
        <v>0</v>
      </c>
      <c r="L255" s="29">
        <f t="shared" si="58"/>
        <v>0</v>
      </c>
      <c r="M255" s="29">
        <f t="shared" si="58"/>
        <v>0</v>
      </c>
      <c r="N255" s="102">
        <f>SUM(N254:N254)</f>
        <v>0</v>
      </c>
    </row>
    <row r="256" spans="1:14" s="73" customFormat="1" ht="18">
      <c r="A256" s="67"/>
      <c r="B256" s="68"/>
      <c r="C256" s="69" t="s">
        <v>303</v>
      </c>
      <c r="D256" s="70"/>
      <c r="E256" s="71"/>
      <c r="F256" s="72"/>
      <c r="G256" s="95">
        <f aca="true" t="shared" si="59" ref="G256:N256">G17+G25+G29+G35+G47+G50+G56+G95+G100+G102+G110+G129+G146+G148+G150+G206+G233+G248+G252+G255</f>
        <v>0</v>
      </c>
      <c r="H256" s="95">
        <f t="shared" si="59"/>
        <v>0</v>
      </c>
      <c r="I256" s="95">
        <f t="shared" si="59"/>
        <v>0</v>
      </c>
      <c r="J256" s="95">
        <f t="shared" si="59"/>
        <v>0</v>
      </c>
      <c r="K256" s="95">
        <f t="shared" si="59"/>
        <v>0</v>
      </c>
      <c r="L256" s="95">
        <f t="shared" si="59"/>
        <v>0</v>
      </c>
      <c r="M256" s="95">
        <f t="shared" si="59"/>
        <v>0</v>
      </c>
      <c r="N256" s="106">
        <f t="shared" si="59"/>
        <v>0</v>
      </c>
    </row>
    <row r="257" spans="1:14" s="80" customFormat="1" ht="36">
      <c r="A257" s="74"/>
      <c r="B257" s="75"/>
      <c r="C257" s="76" t="s">
        <v>171</v>
      </c>
      <c r="D257" s="77" t="s">
        <v>301</v>
      </c>
      <c r="E257" s="78"/>
      <c r="F257" s="35"/>
      <c r="G257" s="79"/>
      <c r="H257" s="79"/>
      <c r="I257" s="79"/>
      <c r="J257" s="79"/>
      <c r="K257" s="79"/>
      <c r="L257" s="79"/>
      <c r="M257" s="79"/>
      <c r="N257" s="107">
        <v>0</v>
      </c>
    </row>
    <row r="258" spans="1:14" ht="48">
      <c r="A258" s="61"/>
      <c r="B258" s="60"/>
      <c r="C258" s="76" t="s">
        <v>329</v>
      </c>
      <c r="D258" s="28" t="s">
        <v>327</v>
      </c>
      <c r="E258" s="35"/>
      <c r="F258" s="35"/>
      <c r="G258" s="35"/>
      <c r="H258" s="35"/>
      <c r="I258" s="35"/>
      <c r="J258" s="35"/>
      <c r="K258" s="35"/>
      <c r="L258" s="35"/>
      <c r="M258" s="81"/>
      <c r="N258" s="102">
        <f>ROUND((G256+I256)*0.2*1.015*1.2,2)</f>
        <v>0</v>
      </c>
    </row>
    <row r="259" spans="1:14" ht="15">
      <c r="A259" s="61"/>
      <c r="B259" s="60"/>
      <c r="C259" s="82"/>
      <c r="D259" s="20"/>
      <c r="E259" s="35"/>
      <c r="F259" s="35"/>
      <c r="G259" s="35"/>
      <c r="H259" s="35"/>
      <c r="I259" s="35"/>
      <c r="J259" s="35"/>
      <c r="K259" s="35"/>
      <c r="L259" s="35"/>
      <c r="M259" s="81"/>
      <c r="N259" s="108"/>
    </row>
    <row r="260" spans="1:14" ht="16.5" customHeight="1">
      <c r="A260" s="61"/>
      <c r="B260" s="60"/>
      <c r="C260" s="76" t="s">
        <v>4</v>
      </c>
      <c r="D260" s="20"/>
      <c r="E260" s="35"/>
      <c r="F260" s="35"/>
      <c r="G260" s="35"/>
      <c r="H260" s="35"/>
      <c r="I260" s="35"/>
      <c r="J260" s="35"/>
      <c r="K260" s="35"/>
      <c r="L260" s="35"/>
      <c r="M260" s="81"/>
      <c r="N260" s="109">
        <f>SUM(N256:N258)</f>
        <v>0</v>
      </c>
    </row>
    <row r="261" ht="12.75">
      <c r="N261" s="110"/>
    </row>
    <row r="262" spans="1:14" ht="18" customHeight="1">
      <c r="A262" s="113" t="s">
        <v>337</v>
      </c>
      <c r="B262" s="114"/>
      <c r="C262" s="114"/>
      <c r="D262" s="114"/>
      <c r="E262" s="114"/>
      <c r="F262" s="114"/>
      <c r="G262" s="114"/>
      <c r="H262" s="114"/>
      <c r="I262" s="114"/>
      <c r="J262" s="114"/>
      <c r="K262" s="114"/>
      <c r="L262" s="114"/>
      <c r="M262" s="114"/>
      <c r="N262" s="114"/>
    </row>
    <row r="263" spans="1:14" ht="111.75" customHeight="1">
      <c r="A263" s="113" t="s">
        <v>338</v>
      </c>
      <c r="B263" s="114"/>
      <c r="C263" s="114"/>
      <c r="D263" s="114"/>
      <c r="E263" s="114"/>
      <c r="F263" s="114"/>
      <c r="G263" s="114"/>
      <c r="H263" s="114"/>
      <c r="I263" s="114"/>
      <c r="J263" s="114"/>
      <c r="K263" s="114"/>
      <c r="L263" s="114"/>
      <c r="M263" s="114"/>
      <c r="N263" s="114"/>
    </row>
  </sheetData>
  <sheetProtection/>
  <mergeCells count="47">
    <mergeCell ref="A1:N1"/>
    <mergeCell ref="A262:N262"/>
    <mergeCell ref="A249:M249"/>
    <mergeCell ref="A253:M253"/>
    <mergeCell ref="A147:M147"/>
    <mergeCell ref="A149:M149"/>
    <mergeCell ref="A151:M151"/>
    <mergeCell ref="A152:M152"/>
    <mergeCell ref="A207:M207"/>
    <mergeCell ref="A89:M89"/>
    <mergeCell ref="A82:M82"/>
    <mergeCell ref="A76:M76"/>
    <mergeCell ref="A73:M73"/>
    <mergeCell ref="A153:M153"/>
    <mergeCell ref="A96:M96"/>
    <mergeCell ref="A101:M101"/>
    <mergeCell ref="A103:M103"/>
    <mergeCell ref="A111:M111"/>
    <mergeCell ref="A130:M130"/>
    <mergeCell ref="A48:M48"/>
    <mergeCell ref="A51:M51"/>
    <mergeCell ref="A57:M57"/>
    <mergeCell ref="A58:M58"/>
    <mergeCell ref="A60:M60"/>
    <mergeCell ref="A79:M79"/>
    <mergeCell ref="A14:M14"/>
    <mergeCell ref="A15:M15"/>
    <mergeCell ref="A18:M18"/>
    <mergeCell ref="A26:M26"/>
    <mergeCell ref="A30:M30"/>
    <mergeCell ref="A36:M36"/>
    <mergeCell ref="K9:K11"/>
    <mergeCell ref="L9:L11"/>
    <mergeCell ref="M9:M11"/>
    <mergeCell ref="E10:F10"/>
    <mergeCell ref="G10:J10"/>
    <mergeCell ref="N10:N11"/>
    <mergeCell ref="A263:N263"/>
    <mergeCell ref="A3:N3"/>
    <mergeCell ref="A4:N4"/>
    <mergeCell ref="G7:J7"/>
    <mergeCell ref="M8:N8"/>
    <mergeCell ref="A9:A11"/>
    <mergeCell ref="B9:B11"/>
    <mergeCell ref="C9:C11"/>
    <mergeCell ref="D9:D11"/>
    <mergeCell ref="F9:J9"/>
  </mergeCells>
  <printOptions/>
  <pageMargins left="0.1968503937007874" right="0" top="0.3937007874015748" bottom="0.4330708661417323" header="0.2362204724409449" footer="0.2362204724409449"/>
  <pageSetup fitToHeight="10000" horizontalDpi="600" verticalDpi="600" orientation="landscape" paperSize="9" scale="65" r:id="rId1"/>
  <headerFooter alignWithMargins="0">
    <oddHeader>&amp;LГранд-Смета (вер.7.3)</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Голубева Екатерина Алексеевна</cp:lastModifiedBy>
  <cp:lastPrinted>2019-03-22T08:00:27Z</cp:lastPrinted>
  <dcterms:created xsi:type="dcterms:W3CDTF">2002-02-11T05:58:42Z</dcterms:created>
  <dcterms:modified xsi:type="dcterms:W3CDTF">2023-02-03T11:54:49Z</dcterms:modified>
  <cp:category/>
  <cp:version/>
  <cp:contentType/>
  <cp:contentStatus/>
</cp:coreProperties>
</file>